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20160" windowHeight="7635" activeTab="5"/>
  </bookViews>
  <sheets>
    <sheet name="2023 (chinh ly)" sheetId="1" r:id="rId1"/>
    <sheet name="2023 (1)" sheetId="2" r:id="rId2"/>
    <sheet name="2023 (2)" sheetId="3" r:id="rId3"/>
    <sheet name="2023 (3)" sheetId="4" r:id="rId4"/>
    <sheet name="2023 (4)" sheetId="5" r:id="rId5"/>
    <sheet name="2023 (5)" sheetId="6" r:id="rId6"/>
  </sheets>
  <definedNames>
    <definedName name="_xlnm.Print_Titles" localSheetId="1">'2023 (1)'!$4:$5</definedName>
    <definedName name="_xlnm.Print_Titles" localSheetId="0">'2023 (chinh ly)'!$4:$5</definedName>
  </definedNames>
  <calcPr calcId="144525" calcOnSave="0" concurrentCalc="0"/>
</workbook>
</file>

<file path=xl/calcChain.xml><?xml version="1.0" encoding="utf-8"?>
<calcChain xmlns="http://schemas.openxmlformats.org/spreadsheetml/2006/main">
  <c r="E37" i="6" l="1"/>
  <c r="E36" i="6"/>
  <c r="E7" i="6"/>
  <c r="E14" i="6"/>
  <c r="E39" i="6"/>
  <c r="E38" i="6"/>
  <c r="E35" i="6"/>
  <c r="E32" i="6"/>
  <c r="E31" i="6"/>
  <c r="E30" i="6"/>
  <c r="L48" i="6"/>
  <c r="I7" i="6"/>
  <c r="I8" i="6"/>
  <c r="I9" i="6"/>
  <c r="I6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11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28" i="6"/>
  <c r="I43" i="6"/>
  <c r="I42" i="6"/>
  <c r="I45" i="6"/>
  <c r="I46" i="6"/>
  <c r="F7" i="6"/>
  <c r="F8" i="6"/>
  <c r="F9" i="6"/>
  <c r="F6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11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28" i="6"/>
  <c r="F43" i="6"/>
  <c r="F42" i="6"/>
  <c r="F45" i="6"/>
  <c r="F46" i="6"/>
  <c r="E6" i="6"/>
  <c r="E11" i="6"/>
  <c r="E28" i="6"/>
  <c r="E42" i="6"/>
  <c r="E46" i="6"/>
  <c r="D6" i="6"/>
  <c r="D11" i="6"/>
  <c r="D28" i="6"/>
  <c r="D42" i="6"/>
  <c r="D46" i="6"/>
  <c r="C6" i="6"/>
  <c r="C11" i="6"/>
  <c r="C28" i="6"/>
  <c r="C46" i="6"/>
  <c r="H42" i="6"/>
  <c r="G42" i="6"/>
  <c r="O41" i="6"/>
  <c r="O40" i="6"/>
  <c r="O31" i="6"/>
  <c r="O30" i="6"/>
  <c r="N28" i="6"/>
  <c r="Q20" i="6"/>
  <c r="O20" i="6"/>
  <c r="N20" i="6"/>
  <c r="Q17" i="6"/>
  <c r="O17" i="6"/>
  <c r="N17" i="6"/>
  <c r="Q16" i="6"/>
  <c r="O16" i="6"/>
  <c r="N16" i="6"/>
  <c r="Q15" i="6"/>
  <c r="O15" i="6"/>
  <c r="N15" i="6"/>
  <c r="Q14" i="6"/>
  <c r="O14" i="6"/>
  <c r="N14" i="6"/>
  <c r="Q13" i="6"/>
  <c r="O13" i="6"/>
  <c r="N13" i="6"/>
  <c r="M13" i="6"/>
  <c r="L13" i="6"/>
  <c r="Q12" i="6"/>
  <c r="O12" i="6"/>
  <c r="N12" i="6"/>
  <c r="H11" i="6"/>
  <c r="G11" i="6"/>
  <c r="I10" i="6"/>
  <c r="F10" i="6"/>
  <c r="N6" i="6"/>
  <c r="H6" i="6"/>
  <c r="G6" i="6"/>
  <c r="N20" i="5"/>
  <c r="C11" i="5"/>
  <c r="E7" i="5"/>
  <c r="N6" i="3"/>
  <c r="D11" i="5"/>
  <c r="E33" i="5"/>
  <c r="E14" i="5"/>
  <c r="E13" i="5"/>
  <c r="E8" i="5"/>
  <c r="F11" i="4"/>
  <c r="F6" i="4"/>
  <c r="I11" i="4"/>
  <c r="I6" i="4"/>
  <c r="I28" i="4"/>
  <c r="D11" i="4"/>
  <c r="E11" i="4"/>
  <c r="D28" i="4"/>
  <c r="E28" i="4"/>
  <c r="F28" i="4"/>
  <c r="C6" i="4"/>
  <c r="C11" i="4"/>
  <c r="C28" i="4"/>
  <c r="I13" i="5"/>
  <c r="F13" i="5"/>
  <c r="I14" i="5"/>
  <c r="F14" i="5"/>
  <c r="I12" i="5"/>
  <c r="F12" i="5"/>
  <c r="I15" i="5"/>
  <c r="F15" i="5"/>
  <c r="I17" i="5"/>
  <c r="F17" i="5"/>
  <c r="I18" i="5"/>
  <c r="F18" i="5"/>
  <c r="I16" i="5"/>
  <c r="F16" i="5"/>
  <c r="Q12" i="5"/>
  <c r="O12" i="5"/>
  <c r="N12" i="5"/>
  <c r="I25" i="5"/>
  <c r="I26" i="5"/>
  <c r="I27" i="5"/>
  <c r="I20" i="5"/>
  <c r="I11" i="5"/>
  <c r="I33" i="5"/>
  <c r="I30" i="5"/>
  <c r="I31" i="5"/>
  <c r="I32" i="5"/>
  <c r="I36" i="5"/>
  <c r="I37" i="5"/>
  <c r="I35" i="5"/>
  <c r="I38" i="5"/>
  <c r="I39" i="5"/>
  <c r="I28" i="5"/>
  <c r="I27" i="2"/>
  <c r="I28" i="3"/>
  <c r="I25" i="4"/>
  <c r="F25" i="4"/>
  <c r="I26" i="4"/>
  <c r="F26" i="4"/>
  <c r="Q12" i="4"/>
  <c r="O12" i="4"/>
  <c r="N12" i="4"/>
  <c r="I12" i="4"/>
  <c r="F12" i="4"/>
  <c r="I13" i="4"/>
  <c r="F13" i="4"/>
  <c r="E14" i="4"/>
  <c r="I14" i="4"/>
  <c r="F14" i="4"/>
  <c r="I15" i="4"/>
  <c r="F15" i="4"/>
  <c r="I16" i="4"/>
  <c r="F16" i="4"/>
  <c r="I24" i="4"/>
  <c r="F24" i="4"/>
  <c r="I17" i="4"/>
  <c r="F17" i="4"/>
  <c r="I18" i="4"/>
  <c r="F18" i="4"/>
  <c r="Q12" i="3"/>
  <c r="N12" i="2"/>
  <c r="N12" i="3"/>
  <c r="C11" i="2"/>
  <c r="F11" i="2"/>
  <c r="D11" i="3"/>
  <c r="E11" i="3"/>
  <c r="C11" i="3"/>
  <c r="Q12" i="2"/>
  <c r="O12" i="2"/>
  <c r="I12" i="3"/>
  <c r="F12" i="3"/>
  <c r="E13" i="3"/>
  <c r="I13" i="3"/>
  <c r="F13" i="3"/>
  <c r="E14" i="3"/>
  <c r="I14" i="3"/>
  <c r="F14" i="3"/>
  <c r="I15" i="3"/>
  <c r="F15" i="3"/>
  <c r="I16" i="3"/>
  <c r="F16" i="3"/>
  <c r="I24" i="3"/>
  <c r="F24" i="3"/>
  <c r="I25" i="3"/>
  <c r="F25" i="3"/>
  <c r="I17" i="3"/>
  <c r="F17" i="3"/>
  <c r="I18" i="3"/>
  <c r="F18" i="3"/>
  <c r="O12" i="3"/>
  <c r="I12" i="2"/>
  <c r="F12" i="2"/>
  <c r="D13" i="2"/>
  <c r="I13" i="2"/>
  <c r="F13" i="2"/>
  <c r="E14" i="2"/>
  <c r="I14" i="2"/>
  <c r="F14" i="2"/>
  <c r="I15" i="2"/>
  <c r="F15" i="2"/>
  <c r="I16" i="2"/>
  <c r="F16" i="2"/>
  <c r="I23" i="2"/>
  <c r="F23" i="2"/>
  <c r="I24" i="2"/>
  <c r="F24" i="2"/>
  <c r="I17" i="2"/>
  <c r="F17" i="2"/>
  <c r="E35" i="5"/>
  <c r="E39" i="5"/>
  <c r="E38" i="5"/>
  <c r="E37" i="5"/>
  <c r="E36" i="5"/>
  <c r="E7" i="4"/>
  <c r="I7" i="4"/>
  <c r="F7" i="4"/>
  <c r="I9" i="4"/>
  <c r="F9" i="4"/>
  <c r="N6" i="4"/>
  <c r="F36" i="5"/>
  <c r="F33" i="5"/>
  <c r="F35" i="5"/>
  <c r="F38" i="5"/>
  <c r="F37" i="5"/>
  <c r="F30" i="5"/>
  <c r="F31" i="5"/>
  <c r="F32" i="5"/>
  <c r="F39" i="5"/>
  <c r="F28" i="5"/>
  <c r="C28" i="5"/>
  <c r="F25" i="5"/>
  <c r="F26" i="5"/>
  <c r="F27" i="5"/>
  <c r="F20" i="5"/>
  <c r="F11" i="5"/>
  <c r="N13" i="5"/>
  <c r="N14" i="5"/>
  <c r="N15" i="5"/>
  <c r="N16" i="5"/>
  <c r="N17" i="5"/>
  <c r="I24" i="5"/>
  <c r="F24" i="5"/>
  <c r="I19" i="5"/>
  <c r="F19" i="5"/>
  <c r="Q13" i="5"/>
  <c r="L48" i="5"/>
  <c r="I7" i="5"/>
  <c r="I8" i="5"/>
  <c r="I9" i="5"/>
  <c r="I6" i="5"/>
  <c r="I21" i="5"/>
  <c r="I22" i="5"/>
  <c r="I23" i="5"/>
  <c r="I29" i="5"/>
  <c r="I34" i="5"/>
  <c r="I43" i="5"/>
  <c r="I42" i="5"/>
  <c r="I45" i="5"/>
  <c r="I46" i="5"/>
  <c r="F7" i="5"/>
  <c r="F8" i="5"/>
  <c r="F9" i="5"/>
  <c r="F6" i="5"/>
  <c r="F21" i="5"/>
  <c r="F22" i="5"/>
  <c r="F23" i="5"/>
  <c r="F29" i="5"/>
  <c r="F34" i="5"/>
  <c r="I40" i="5"/>
  <c r="F40" i="5"/>
  <c r="I41" i="5"/>
  <c r="F41" i="5"/>
  <c r="F43" i="5"/>
  <c r="F42" i="5"/>
  <c r="F45" i="5"/>
  <c r="F46" i="5"/>
  <c r="E6" i="5"/>
  <c r="E11" i="5"/>
  <c r="E28" i="5"/>
  <c r="E42" i="5"/>
  <c r="E46" i="5"/>
  <c r="D6" i="5"/>
  <c r="D28" i="5"/>
  <c r="D42" i="5"/>
  <c r="D46" i="5"/>
  <c r="C6" i="5"/>
  <c r="C46" i="5"/>
  <c r="H42" i="5"/>
  <c r="G42" i="5"/>
  <c r="O41" i="5"/>
  <c r="O40" i="5"/>
  <c r="O31" i="5"/>
  <c r="O30" i="5"/>
  <c r="N28" i="5"/>
  <c r="Q20" i="5"/>
  <c r="O20" i="5"/>
  <c r="Q17" i="5"/>
  <c r="O17" i="5"/>
  <c r="Q16" i="5"/>
  <c r="O16" i="5"/>
  <c r="Q15" i="5"/>
  <c r="O15" i="5"/>
  <c r="Q14" i="5"/>
  <c r="O14" i="5"/>
  <c r="O13" i="5"/>
  <c r="M13" i="5"/>
  <c r="L13" i="5"/>
  <c r="H11" i="5"/>
  <c r="G11" i="5"/>
  <c r="I10" i="5"/>
  <c r="F10" i="5"/>
  <c r="N6" i="5"/>
  <c r="H6" i="5"/>
  <c r="G6" i="5"/>
  <c r="E7" i="3"/>
  <c r="I7" i="3"/>
  <c r="F7" i="3"/>
  <c r="I9" i="3"/>
  <c r="F9" i="3"/>
  <c r="D9" i="2"/>
  <c r="E39" i="4"/>
  <c r="E38" i="4"/>
  <c r="E36" i="4"/>
  <c r="E32" i="4"/>
  <c r="E37" i="4"/>
  <c r="E35" i="4"/>
  <c r="E31" i="4"/>
  <c r="E30" i="4"/>
  <c r="E30" i="3"/>
  <c r="L48" i="4"/>
  <c r="I8" i="4"/>
  <c r="I19" i="4"/>
  <c r="I20" i="4"/>
  <c r="I21" i="4"/>
  <c r="I22" i="4"/>
  <c r="I23" i="4"/>
  <c r="I27" i="4"/>
  <c r="I29" i="4"/>
  <c r="I30" i="4"/>
  <c r="I31" i="4"/>
  <c r="I32" i="4"/>
  <c r="I33" i="4"/>
  <c r="I34" i="4"/>
  <c r="I35" i="4"/>
  <c r="I36" i="4"/>
  <c r="I37" i="4"/>
  <c r="I38" i="4"/>
  <c r="I43" i="4"/>
  <c r="I42" i="4"/>
  <c r="I45" i="4"/>
  <c r="I46" i="4"/>
  <c r="F8" i="4"/>
  <c r="F19" i="4"/>
  <c r="F20" i="4"/>
  <c r="F21" i="4"/>
  <c r="F22" i="4"/>
  <c r="F23" i="4"/>
  <c r="F27" i="4"/>
  <c r="F29" i="4"/>
  <c r="F30" i="4"/>
  <c r="F31" i="4"/>
  <c r="F32" i="4"/>
  <c r="F33" i="4"/>
  <c r="F34" i="4"/>
  <c r="F35" i="4"/>
  <c r="F36" i="4"/>
  <c r="F37" i="4"/>
  <c r="F38" i="4"/>
  <c r="I39" i="4"/>
  <c r="F39" i="4"/>
  <c r="I40" i="4"/>
  <c r="F40" i="4"/>
  <c r="I41" i="4"/>
  <c r="F41" i="4"/>
  <c r="F43" i="4"/>
  <c r="F42" i="4"/>
  <c r="F45" i="4"/>
  <c r="F46" i="4"/>
  <c r="E6" i="4"/>
  <c r="E42" i="4"/>
  <c r="E46" i="4"/>
  <c r="D6" i="4"/>
  <c r="D42" i="4"/>
  <c r="D46" i="4"/>
  <c r="C46" i="4"/>
  <c r="H42" i="4"/>
  <c r="G42" i="4"/>
  <c r="O41" i="4"/>
  <c r="O40" i="4"/>
  <c r="O31" i="4"/>
  <c r="O30" i="4"/>
  <c r="N28" i="4"/>
  <c r="Q20" i="4"/>
  <c r="O20" i="4"/>
  <c r="N20" i="4"/>
  <c r="Q17" i="4"/>
  <c r="O17" i="4"/>
  <c r="N17" i="4"/>
  <c r="Q16" i="4"/>
  <c r="O16" i="4"/>
  <c r="N16" i="4"/>
  <c r="Q15" i="4"/>
  <c r="O15" i="4"/>
  <c r="N15" i="4"/>
  <c r="Q14" i="4"/>
  <c r="O14" i="4"/>
  <c r="N14" i="4"/>
  <c r="Q13" i="4"/>
  <c r="O13" i="4"/>
  <c r="N13" i="4"/>
  <c r="M13" i="4"/>
  <c r="L13" i="4"/>
  <c r="H11" i="4"/>
  <c r="G11" i="4"/>
  <c r="I10" i="4"/>
  <c r="F10" i="4"/>
  <c r="H6" i="4"/>
  <c r="G6" i="4"/>
  <c r="I19" i="3"/>
  <c r="F19" i="3"/>
  <c r="Q13" i="3"/>
  <c r="E35" i="3"/>
  <c r="E29" i="3"/>
  <c r="E38" i="3"/>
  <c r="E37" i="3"/>
  <c r="E36" i="3"/>
  <c r="E32" i="3"/>
  <c r="E31" i="3"/>
  <c r="C28" i="3"/>
  <c r="E28" i="3"/>
  <c r="D28" i="3"/>
  <c r="I36" i="3"/>
  <c r="F36" i="3"/>
  <c r="I37" i="3"/>
  <c r="F37" i="3"/>
  <c r="I30" i="3"/>
  <c r="F30" i="3"/>
  <c r="I31" i="3"/>
  <c r="F31" i="3"/>
  <c r="I32" i="3"/>
  <c r="F32" i="3"/>
  <c r="I35" i="3"/>
  <c r="F35" i="3"/>
  <c r="I38" i="3"/>
  <c r="F38" i="3"/>
  <c r="I29" i="3"/>
  <c r="F29" i="3"/>
  <c r="I34" i="3"/>
  <c r="F34" i="3"/>
  <c r="I33" i="3"/>
  <c r="F33" i="3"/>
  <c r="I39" i="3"/>
  <c r="F39" i="3"/>
  <c r="I40" i="3"/>
  <c r="F40" i="3"/>
  <c r="I41" i="3"/>
  <c r="F41" i="3"/>
  <c r="F28" i="3"/>
  <c r="E20" i="3"/>
  <c r="L48" i="3"/>
  <c r="I8" i="3"/>
  <c r="I6" i="3"/>
  <c r="I20" i="3"/>
  <c r="I21" i="3"/>
  <c r="I22" i="3"/>
  <c r="I23" i="3"/>
  <c r="I26" i="3"/>
  <c r="I27" i="3"/>
  <c r="I11" i="3"/>
  <c r="I43" i="3"/>
  <c r="I42" i="3"/>
  <c r="I45" i="3"/>
  <c r="I46" i="3"/>
  <c r="F8" i="3"/>
  <c r="F6" i="3"/>
  <c r="F20" i="3"/>
  <c r="F21" i="3"/>
  <c r="F22" i="3"/>
  <c r="F23" i="3"/>
  <c r="F26" i="3"/>
  <c r="F27" i="3"/>
  <c r="F11" i="3"/>
  <c r="F43" i="3"/>
  <c r="F42" i="3"/>
  <c r="F45" i="3"/>
  <c r="F46" i="3"/>
  <c r="E6" i="3"/>
  <c r="E42" i="3"/>
  <c r="E46" i="3"/>
  <c r="D6" i="3"/>
  <c r="D42" i="3"/>
  <c r="D46" i="3"/>
  <c r="C6" i="3"/>
  <c r="C46" i="3"/>
  <c r="H42" i="3"/>
  <c r="G42" i="3"/>
  <c r="O41" i="3"/>
  <c r="O40" i="3"/>
  <c r="O31" i="3"/>
  <c r="O30" i="3"/>
  <c r="N28" i="3"/>
  <c r="Q20" i="3"/>
  <c r="O20" i="3"/>
  <c r="N20" i="3"/>
  <c r="Q17" i="3"/>
  <c r="O17" i="3"/>
  <c r="N17" i="3"/>
  <c r="Q16" i="3"/>
  <c r="O16" i="3"/>
  <c r="N16" i="3"/>
  <c r="Q15" i="3"/>
  <c r="O15" i="3"/>
  <c r="N15" i="3"/>
  <c r="Q14" i="3"/>
  <c r="O14" i="3"/>
  <c r="N14" i="3"/>
  <c r="O13" i="3"/>
  <c r="N13" i="3"/>
  <c r="M13" i="3"/>
  <c r="L13" i="3"/>
  <c r="H11" i="3"/>
  <c r="G11" i="3"/>
  <c r="I10" i="3"/>
  <c r="F10" i="3"/>
  <c r="H6" i="3"/>
  <c r="G6" i="3"/>
  <c r="C27" i="2"/>
  <c r="I28" i="2"/>
  <c r="F28" i="2"/>
  <c r="I29" i="2"/>
  <c r="F29" i="2"/>
  <c r="I30" i="2"/>
  <c r="F30" i="2"/>
  <c r="E31" i="2"/>
  <c r="I31" i="2"/>
  <c r="F31" i="2"/>
  <c r="I32" i="2"/>
  <c r="F32" i="2"/>
  <c r="E33" i="2"/>
  <c r="I33" i="2"/>
  <c r="F33" i="2"/>
  <c r="E34" i="2"/>
  <c r="I34" i="2"/>
  <c r="F34" i="2"/>
  <c r="E35" i="2"/>
  <c r="I35" i="2"/>
  <c r="F35" i="2"/>
  <c r="E36" i="2"/>
  <c r="I36" i="2"/>
  <c r="F36" i="2"/>
  <c r="E37" i="2"/>
  <c r="I37" i="2"/>
  <c r="F37" i="2"/>
  <c r="I38" i="2"/>
  <c r="F38" i="2"/>
  <c r="I39" i="2"/>
  <c r="F39" i="2"/>
  <c r="F27" i="2"/>
  <c r="E7" i="2"/>
  <c r="E19" i="2"/>
  <c r="O16" i="2"/>
  <c r="O14" i="2"/>
  <c r="E9" i="2"/>
  <c r="E7" i="1"/>
  <c r="O39" i="2"/>
  <c r="I18" i="2"/>
  <c r="F18" i="2"/>
  <c r="O38" i="2"/>
  <c r="D8" i="2"/>
  <c r="L46" i="2"/>
  <c r="I7" i="2"/>
  <c r="I8" i="2"/>
  <c r="I9" i="2"/>
  <c r="I6" i="2"/>
  <c r="I19" i="2"/>
  <c r="I20" i="2"/>
  <c r="I21" i="2"/>
  <c r="I22" i="2"/>
  <c r="I25" i="2"/>
  <c r="I26" i="2"/>
  <c r="I11" i="2"/>
  <c r="I41" i="2"/>
  <c r="I40" i="2"/>
  <c r="I43" i="2"/>
  <c r="I44" i="2"/>
  <c r="F7" i="2"/>
  <c r="F8" i="2"/>
  <c r="F9" i="2"/>
  <c r="F6" i="2"/>
  <c r="F19" i="2"/>
  <c r="F20" i="2"/>
  <c r="F21" i="2"/>
  <c r="F22" i="2"/>
  <c r="F25" i="2"/>
  <c r="F26" i="2"/>
  <c r="F41" i="2"/>
  <c r="F40" i="2"/>
  <c r="F43" i="2"/>
  <c r="F44" i="2"/>
  <c r="E6" i="2"/>
  <c r="E11" i="2"/>
  <c r="E27" i="2"/>
  <c r="E40" i="2"/>
  <c r="E44" i="2"/>
  <c r="D6" i="2"/>
  <c r="D11" i="2"/>
  <c r="D27" i="2"/>
  <c r="D40" i="2"/>
  <c r="D44" i="2"/>
  <c r="C6" i="2"/>
  <c r="C44" i="2"/>
  <c r="H40" i="2"/>
  <c r="G40" i="2"/>
  <c r="O30" i="2"/>
  <c r="O29" i="2"/>
  <c r="N27" i="2"/>
  <c r="Q20" i="2"/>
  <c r="O20" i="2"/>
  <c r="N20" i="2"/>
  <c r="Q17" i="2"/>
  <c r="O17" i="2"/>
  <c r="N17" i="2"/>
  <c r="Q16" i="2"/>
  <c r="N16" i="2"/>
  <c r="Q15" i="2"/>
  <c r="O15" i="2"/>
  <c r="N15" i="2"/>
  <c r="Q14" i="2"/>
  <c r="N14" i="2"/>
  <c r="Q13" i="2"/>
  <c r="O13" i="2"/>
  <c r="N13" i="2"/>
  <c r="M13" i="2"/>
  <c r="L13" i="2"/>
  <c r="H11" i="2"/>
  <c r="G11" i="2"/>
  <c r="I10" i="2"/>
  <c r="F10" i="2"/>
  <c r="H6" i="2"/>
  <c r="G6" i="2"/>
  <c r="I39" i="1"/>
  <c r="I40" i="1"/>
  <c r="F39" i="1"/>
  <c r="E8" i="1"/>
  <c r="D28" i="1"/>
  <c r="O31" i="1"/>
  <c r="O30" i="1"/>
  <c r="N28" i="1"/>
  <c r="I13" i="1"/>
  <c r="F13" i="1"/>
  <c r="I14" i="1"/>
  <c r="F14" i="1"/>
  <c r="I24" i="1"/>
  <c r="F24" i="1"/>
  <c r="I12" i="1"/>
  <c r="F12" i="1"/>
  <c r="I15" i="1"/>
  <c r="F15" i="1"/>
  <c r="I16" i="1"/>
  <c r="F16" i="1"/>
  <c r="I17" i="1"/>
  <c r="F17" i="1"/>
  <c r="I25" i="1"/>
  <c r="F25" i="1"/>
  <c r="Q12" i="1"/>
  <c r="O12" i="1"/>
  <c r="N12" i="1"/>
  <c r="L47" i="1"/>
  <c r="I7" i="1"/>
  <c r="I8" i="1"/>
  <c r="I9" i="1"/>
  <c r="I6" i="1"/>
  <c r="I18" i="1"/>
  <c r="I19" i="1"/>
  <c r="I20" i="1"/>
  <c r="I21" i="1"/>
  <c r="I22" i="1"/>
  <c r="I23" i="1"/>
  <c r="I26" i="1"/>
  <c r="I27" i="1"/>
  <c r="I11" i="1"/>
  <c r="I29" i="1"/>
  <c r="I30" i="1"/>
  <c r="I31" i="1"/>
  <c r="I32" i="1"/>
  <c r="I33" i="1"/>
  <c r="I34" i="1"/>
  <c r="I35" i="1"/>
  <c r="I36" i="1"/>
  <c r="I37" i="1"/>
  <c r="I38" i="1"/>
  <c r="I28" i="1"/>
  <c r="I42" i="1"/>
  <c r="I41" i="1"/>
  <c r="I44" i="1"/>
  <c r="I45" i="1"/>
  <c r="F7" i="1"/>
  <c r="F8" i="1"/>
  <c r="F9" i="1"/>
  <c r="F6" i="1"/>
  <c r="F18" i="1"/>
  <c r="F19" i="1"/>
  <c r="F20" i="1"/>
  <c r="F21" i="1"/>
  <c r="F22" i="1"/>
  <c r="F23" i="1"/>
  <c r="F26" i="1"/>
  <c r="F27" i="1"/>
  <c r="F11" i="1"/>
  <c r="F29" i="1"/>
  <c r="F30" i="1"/>
  <c r="F31" i="1"/>
  <c r="F32" i="1"/>
  <c r="F33" i="1"/>
  <c r="F34" i="1"/>
  <c r="F35" i="1"/>
  <c r="F36" i="1"/>
  <c r="F37" i="1"/>
  <c r="F38" i="1"/>
  <c r="F28" i="1"/>
  <c r="F42" i="1"/>
  <c r="F41" i="1"/>
  <c r="F44" i="1"/>
  <c r="F45" i="1"/>
  <c r="E6" i="1"/>
  <c r="E11" i="1"/>
  <c r="E28" i="1"/>
  <c r="E41" i="1"/>
  <c r="E45" i="1"/>
  <c r="D6" i="1"/>
  <c r="D11" i="1"/>
  <c r="D41" i="1"/>
  <c r="D45" i="1"/>
  <c r="C6" i="1"/>
  <c r="C11" i="1"/>
  <c r="C28" i="1"/>
  <c r="C45" i="1"/>
  <c r="H41" i="1"/>
  <c r="G41" i="1"/>
  <c r="F40" i="1"/>
  <c r="Q20" i="1"/>
  <c r="O20" i="1"/>
  <c r="N20" i="1"/>
  <c r="Q17" i="1"/>
  <c r="O17" i="1"/>
  <c r="N17" i="1"/>
  <c r="Q16" i="1"/>
  <c r="O16" i="1"/>
  <c r="N16" i="1"/>
  <c r="M13" i="1"/>
  <c r="L13" i="1"/>
  <c r="Q15" i="1"/>
  <c r="O15" i="1"/>
  <c r="N15" i="1"/>
  <c r="Q14" i="1"/>
  <c r="O14" i="1"/>
  <c r="N14" i="1"/>
  <c r="Q13" i="1"/>
  <c r="O13" i="1"/>
  <c r="N13" i="1"/>
  <c r="H11" i="1"/>
  <c r="G11" i="1"/>
  <c r="I10" i="1"/>
  <c r="F10" i="1"/>
  <c r="H6" i="1"/>
  <c r="G6" i="1"/>
</calcChain>
</file>

<file path=xl/sharedStrings.xml><?xml version="1.0" encoding="utf-8"?>
<sst xmlns="http://schemas.openxmlformats.org/spreadsheetml/2006/main" count="905" uniqueCount="117">
  <si>
    <t>Trường TH THỚI THẠNH</t>
  </si>
  <si>
    <r>
      <t>Đơn vị tính</t>
    </r>
    <r>
      <rPr>
        <sz val="10"/>
        <rFont val="Times New Roman"/>
        <family val="1"/>
      </rPr>
      <t>: đồng</t>
    </r>
  </si>
  <si>
    <t>STT</t>
  </si>
  <si>
    <t>Nội dung</t>
  </si>
  <si>
    <t xml:space="preserve"> Số dư kỳ trước </t>
  </si>
  <si>
    <t xml:space="preserve"> Tổng thu </t>
  </si>
  <si>
    <t xml:space="preserve"> Tổng chi </t>
  </si>
  <si>
    <t xml:space="preserve"> Tồn chuyển sang kỳ sau </t>
  </si>
  <si>
    <t xml:space="preserve"> 15% TK giữ lại </t>
  </si>
  <si>
    <t xml:space="preserve"> Trong  đó </t>
  </si>
  <si>
    <t>NƠI GỞI</t>
  </si>
  <si>
    <t xml:space="preserve"> Tồn tiền mặt </t>
  </si>
  <si>
    <t xml:space="preserve"> Tồn tiền gởi </t>
  </si>
  <si>
    <t>I</t>
  </si>
  <si>
    <t xml:space="preserve">- Tổng Ngân sách NN </t>
  </si>
  <si>
    <t>KHO BẠC</t>
  </si>
  <si>
    <t>01</t>
  </si>
  <si>
    <t xml:space="preserve">Chi thường xuyên </t>
  </si>
  <si>
    <t>02</t>
  </si>
  <si>
    <t>Cải cách tiền lương</t>
  </si>
  <si>
    <t>03</t>
  </si>
  <si>
    <t>Không thường xuyên</t>
  </si>
  <si>
    <t>04</t>
  </si>
  <si>
    <t>Sữa học đường - 15</t>
  </si>
  <si>
    <t>TK 3713</t>
  </si>
  <si>
    <t>Thu</t>
  </si>
  <si>
    <t>Chi</t>
  </si>
  <si>
    <t xml:space="preserve"> Căn tin - 15</t>
  </si>
  <si>
    <t>00000</t>
  </si>
  <si>
    <t>05</t>
  </si>
  <si>
    <t xml:space="preserve"> Công phục vụ bán trú - 09</t>
  </si>
  <si>
    <t>94001</t>
  </si>
  <si>
    <t>06</t>
  </si>
  <si>
    <t xml:space="preserve"> Học 02 buổi - 06</t>
  </si>
  <si>
    <t>94007</t>
  </si>
  <si>
    <t>07</t>
  </si>
  <si>
    <t xml:space="preserve"> Kỹ năng sống - 16</t>
  </si>
  <si>
    <t>94005</t>
  </si>
  <si>
    <t>08</t>
  </si>
  <si>
    <t xml:space="preserve"> Bảo hiểm y tế - 23</t>
  </si>
  <si>
    <t>94006</t>
  </si>
  <si>
    <t>09</t>
  </si>
  <si>
    <t xml:space="preserve"> Vệ sinh phí - 37</t>
  </si>
  <si>
    <t>94009</t>
  </si>
  <si>
    <t>10</t>
  </si>
  <si>
    <t xml:space="preserve"> Tiền ăn bán trú - 19</t>
  </si>
  <si>
    <t>11</t>
  </si>
  <si>
    <t xml:space="preserve"> Trang Thiết bị vật dụng bán trú - 38</t>
  </si>
  <si>
    <t>12</t>
  </si>
  <si>
    <t xml:space="preserve"> Tin học - 05</t>
  </si>
  <si>
    <t>13</t>
  </si>
  <si>
    <t xml:space="preserve"> Tiếng anh bản ngữ - 07</t>
  </si>
  <si>
    <t>14</t>
  </si>
  <si>
    <t xml:space="preserve"> Tiếng anh tự chọn - 08</t>
  </si>
  <si>
    <t>15</t>
  </si>
  <si>
    <t xml:space="preserve"> Đề thi giấy thi - 20</t>
  </si>
  <si>
    <t>16</t>
  </si>
  <si>
    <t xml:space="preserve"> Tiền học STEM - 17</t>
  </si>
  <si>
    <t>17</t>
  </si>
  <si>
    <t>Quỹ phát triển hoạt động SN</t>
  </si>
  <si>
    <t>18</t>
  </si>
  <si>
    <t>Quỹ phúc lợi - 28</t>
  </si>
  <si>
    <t>19</t>
  </si>
  <si>
    <t>Quỹ khen thưởng - 29</t>
  </si>
  <si>
    <t>20</t>
  </si>
  <si>
    <t>Quỹ dự phòng ổn định TN</t>
  </si>
  <si>
    <t>21</t>
  </si>
  <si>
    <t>Quỹ bổ sung TN</t>
  </si>
  <si>
    <t>22</t>
  </si>
  <si>
    <t>Cải cách tiền lương - 39</t>
  </si>
  <si>
    <t>23</t>
  </si>
  <si>
    <t>Thu khác - 35</t>
  </si>
  <si>
    <t>Thai sản</t>
  </si>
  <si>
    <t>Sữa học đường</t>
  </si>
  <si>
    <t>TK 3714</t>
  </si>
  <si>
    <t>24</t>
  </si>
  <si>
    <t>25</t>
  </si>
  <si>
    <t>26</t>
  </si>
  <si>
    <t>27</t>
  </si>
  <si>
    <t>TK 3751</t>
  </si>
  <si>
    <t>Bảo hành cong trình</t>
  </si>
  <si>
    <t>Laõi ngaân haøng</t>
  </si>
  <si>
    <t>NGÂN HÀNG</t>
  </si>
  <si>
    <t>TỔNG CỘNG</t>
  </si>
  <si>
    <t>Trưởng ban thanh tra</t>
  </si>
  <si>
    <t xml:space="preserve"> Kế toán </t>
  </si>
  <si>
    <t>Thủ quỹ</t>
  </si>
  <si>
    <t xml:space="preserve"> Thủ trưởng đơn vị </t>
  </si>
  <si>
    <t>Nguyễn Thị Thùy Trang</t>
  </si>
  <si>
    <t>Nguyễn Thị Phương Thảo</t>
  </si>
  <si>
    <t>Nguyễn Thị Tuyết Hồng</t>
  </si>
  <si>
    <t>Lý Thị Phương Oanh</t>
  </si>
  <si>
    <t>CÔNG KHAI TÀI CHÍNH - THÁNG 01 - NĂM 2023</t>
  </si>
  <si>
    <t>Ngày 31 tháng 01 năm 2023</t>
  </si>
  <si>
    <t>40% CCTL</t>
  </si>
  <si>
    <t>60% PTHĐSN</t>
  </si>
  <si>
    <t>Căn tin</t>
  </si>
  <si>
    <t>28</t>
  </si>
  <si>
    <t>29</t>
  </si>
  <si>
    <t>Quỹ PTHĐSN</t>
  </si>
  <si>
    <t>CCTL - 39</t>
  </si>
  <si>
    <t>TK 3714.0.1012132.00000</t>
  </si>
  <si>
    <t>TK 3713.0.1012132</t>
  </si>
  <si>
    <t>Ngày 28 tháng 02 năm 2023</t>
  </si>
  <si>
    <t>CÔNG KHAI TÀI CHÍNH - THÁNG 02 - NĂM 2023</t>
  </si>
  <si>
    <t xml:space="preserve"> Học bơi - 04</t>
  </si>
  <si>
    <t>30</t>
  </si>
  <si>
    <t>31</t>
  </si>
  <si>
    <t>CÔNG KHAI TÀI CHÍNH - THÁNG 3 - NĂM 2023</t>
  </si>
  <si>
    <t>Ngày 31 tháng 3 năm 2023</t>
  </si>
  <si>
    <t>CÔNG KHAI TÀI CHÍNH - THÁNG CHỈNH LÝ - NĂM 2022</t>
  </si>
  <si>
    <t>Ngày 28 tháng 4 năm 2023</t>
  </si>
  <si>
    <t>CÔNG KHAI TÀI CHÍNH - THÁNG 4 - NĂM 2023</t>
  </si>
  <si>
    <t>Hỗ trợ chi phí học tập</t>
  </si>
  <si>
    <t>Tuyển dụng, kinh phí được cấp…</t>
  </si>
  <si>
    <t>CÔNG KHAI TÀI CHÍNH - THÁNG 5 - NĂM 2023</t>
  </si>
  <si>
    <t>Ngày 31 tháng 5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</si>
</sst>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sz val="9"/>
      <color theme="1"/>
      <name val="Times New Roman"/>
      <family val="1"/>
    </font>
    <font>
      <b/>
      <u val="singleAccounting"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sz val="10"/>
      <name val="VNI-Times"/>
    </font>
    <font>
      <b/>
      <sz val="11"/>
      <name val="VNI-Times"/>
    </font>
    <font>
      <sz val="10"/>
      <name val="VNI-Helve"/>
    </font>
    <font>
      <b/>
      <sz val="18"/>
      <name val="Arial"/>
      <family val="2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/>
  </cellStyleXfs>
  <cellXfs count="134">
    <xf numFmtId="0" fontId="0" fillId="0" borderId="0" xfId="0"/>
    <xf numFmtId="0" fontId="2" fillId="0" borderId="0" xfId="0" applyFont="1" applyAlignment="1"/>
    <xf numFmtId="165" fontId="3" fillId="0" borderId="0" xfId="1" applyNumberFormat="1" applyFont="1"/>
    <xf numFmtId="0" fontId="3" fillId="0" borderId="0" xfId="0" applyFont="1"/>
    <xf numFmtId="0" fontId="4" fillId="0" borderId="0" xfId="0" applyFont="1"/>
    <xf numFmtId="3" fontId="6" fillId="0" borderId="0" xfId="1" applyNumberFormat="1" applyFont="1"/>
    <xf numFmtId="0" fontId="2" fillId="0" borderId="0" xfId="0" applyFont="1" applyAlignment="1">
      <alignment horizontal="center"/>
    </xf>
    <xf numFmtId="165" fontId="7" fillId="0" borderId="0" xfId="1" applyNumberFormat="1" applyFont="1"/>
    <xf numFmtId="3" fontId="3" fillId="0" borderId="0" xfId="0" applyNumberFormat="1" applyFont="1" applyFill="1"/>
    <xf numFmtId="3" fontId="6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/>
    <xf numFmtId="165" fontId="2" fillId="0" borderId="5" xfId="1" applyNumberFormat="1" applyFont="1" applyBorder="1" applyAlignment="1">
      <alignment horizontal="center" vertical="center" wrapText="1"/>
    </xf>
    <xf numFmtId="165" fontId="8" fillId="0" borderId="0" xfId="0" applyNumberFormat="1" applyFont="1"/>
    <xf numFmtId="0" fontId="2" fillId="2" borderId="5" xfId="0" applyFont="1" applyFill="1" applyBorder="1" applyAlignment="1">
      <alignment horizontal="center" vertical="center"/>
    </xf>
    <xf numFmtId="0" fontId="2" fillId="2" borderId="5" xfId="0" quotePrefix="1" applyFont="1" applyFill="1" applyBorder="1" applyAlignment="1">
      <alignment horizontal="center" vertical="center"/>
    </xf>
    <xf numFmtId="165" fontId="2" fillId="2" borderId="5" xfId="1" applyNumberFormat="1" applyFont="1" applyFill="1" applyBorder="1"/>
    <xf numFmtId="0" fontId="2" fillId="2" borderId="5" xfId="0" applyFont="1" applyFill="1" applyBorder="1"/>
    <xf numFmtId="165" fontId="2" fillId="2" borderId="0" xfId="0" applyNumberFormat="1" applyFont="1" applyFill="1"/>
    <xf numFmtId="0" fontId="2" fillId="2" borderId="0" xfId="0" applyFont="1" applyFill="1"/>
    <xf numFmtId="165" fontId="4" fillId="0" borderId="0" xfId="1" applyNumberFormat="1" applyFont="1"/>
    <xf numFmtId="0" fontId="3" fillId="0" borderId="5" xfId="0" quotePrefix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65" fontId="2" fillId="4" borderId="5" xfId="1" applyNumberFormat="1" applyFont="1" applyFill="1" applyBorder="1"/>
    <xf numFmtId="165" fontId="2" fillId="3" borderId="5" xfId="1" applyNumberFormat="1" applyFont="1" applyFill="1" applyBorder="1" applyAlignment="1">
      <alignment horizontal="center" vertical="center" wrapText="1"/>
    </xf>
    <xf numFmtId="165" fontId="2" fillId="5" borderId="5" xfId="1" applyNumberFormat="1" applyFont="1" applyFill="1" applyBorder="1"/>
    <xf numFmtId="165" fontId="2" fillId="0" borderId="5" xfId="1" applyNumberFormat="1" applyFont="1" applyFill="1" applyBorder="1"/>
    <xf numFmtId="165" fontId="3" fillId="3" borderId="5" xfId="1" applyNumberFormat="1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3" fillId="3" borderId="5" xfId="1" applyNumberFormat="1" applyFont="1" applyFill="1" applyBorder="1"/>
    <xf numFmtId="0" fontId="2" fillId="6" borderId="5" xfId="0" applyFont="1" applyFill="1" applyBorder="1" applyAlignment="1">
      <alignment horizontal="center" vertical="center"/>
    </xf>
    <xf numFmtId="165" fontId="2" fillId="6" borderId="5" xfId="1" applyNumberFormat="1" applyFont="1" applyFill="1" applyBorder="1"/>
    <xf numFmtId="0" fontId="9" fillId="0" borderId="0" xfId="0" applyFont="1" applyAlignment="1">
      <alignment horizontal="center"/>
    </xf>
    <xf numFmtId="0" fontId="10" fillId="7" borderId="0" xfId="1" applyNumberFormat="1" applyFont="1" applyFill="1"/>
    <xf numFmtId="165" fontId="3" fillId="5" borderId="5" xfId="1" applyNumberFormat="1" applyFont="1" applyFill="1" applyBorder="1"/>
    <xf numFmtId="165" fontId="10" fillId="0" borderId="0" xfId="1" quotePrefix="1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165" fontId="10" fillId="0" borderId="0" xfId="0" applyNumberFormat="1" applyFont="1"/>
    <xf numFmtId="3" fontId="3" fillId="0" borderId="0" xfId="0" applyNumberFormat="1" applyFont="1"/>
    <xf numFmtId="0" fontId="3" fillId="0" borderId="5" xfId="0" applyFont="1" applyBorder="1" applyAlignment="1">
      <alignment horizontal="left"/>
    </xf>
    <xf numFmtId="3" fontId="10" fillId="5" borderId="5" xfId="0" applyNumberFormat="1" applyFont="1" applyFill="1" applyBorder="1" applyAlignment="1">
      <alignment horizontal="right" vertical="center" wrapText="1"/>
    </xf>
    <xf numFmtId="3" fontId="3" fillId="5" borderId="5" xfId="1" applyNumberFormat="1" applyFont="1" applyFill="1" applyBorder="1"/>
    <xf numFmtId="3" fontId="10" fillId="0" borderId="5" xfId="0" applyNumberFormat="1" applyFont="1" applyBorder="1" applyAlignment="1">
      <alignment horizontal="right" vertical="center" wrapText="1"/>
    </xf>
    <xf numFmtId="165" fontId="3" fillId="0" borderId="5" xfId="1" applyNumberFormat="1" applyFont="1" applyFill="1" applyBorder="1"/>
    <xf numFmtId="0" fontId="3" fillId="0" borderId="4" xfId="0" quotePrefix="1" applyFont="1" applyBorder="1" applyAlignment="1">
      <alignment horizontal="center" vertical="center"/>
    </xf>
    <xf numFmtId="0" fontId="2" fillId="6" borderId="4" xfId="0" quotePrefix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/>
    <xf numFmtId="0" fontId="11" fillId="0" borderId="0" xfId="0" applyFont="1"/>
    <xf numFmtId="0" fontId="3" fillId="0" borderId="4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165" fontId="10" fillId="0" borderId="5" xfId="1" applyNumberFormat="1" applyFont="1" applyFill="1" applyBorder="1" applyAlignment="1">
      <alignment horizontal="right" vertical="center"/>
    </xf>
    <xf numFmtId="165" fontId="3" fillId="0" borderId="5" xfId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1" applyNumberFormat="1" applyFont="1" applyFill="1"/>
    <xf numFmtId="165" fontId="10" fillId="5" borderId="5" xfId="1" applyNumberFormat="1" applyFont="1" applyFill="1" applyBorder="1" applyAlignment="1">
      <alignment horizontal="right" vertical="center"/>
    </xf>
    <xf numFmtId="0" fontId="3" fillId="6" borderId="4" xfId="0" quotePrefix="1" applyFont="1" applyFill="1" applyBorder="1" applyAlignment="1">
      <alignment horizontal="center" vertical="center"/>
    </xf>
    <xf numFmtId="3" fontId="2" fillId="6" borderId="5" xfId="1" applyNumberFormat="1" applyFont="1" applyFill="1" applyBorder="1"/>
    <xf numFmtId="0" fontId="3" fillId="6" borderId="5" xfId="0" applyFont="1" applyFill="1" applyBorder="1"/>
    <xf numFmtId="0" fontId="4" fillId="6" borderId="0" xfId="0" applyFont="1" applyFill="1"/>
    <xf numFmtId="3" fontId="2" fillId="4" borderId="5" xfId="1" applyNumberFormat="1" applyFont="1" applyFill="1" applyBorder="1"/>
    <xf numFmtId="3" fontId="2" fillId="5" borderId="5" xfId="1" applyNumberFormat="1" applyFont="1" applyFill="1" applyBorder="1"/>
    <xf numFmtId="0" fontId="12" fillId="0" borderId="0" xfId="0" applyFont="1" applyFill="1"/>
    <xf numFmtId="165" fontId="13" fillId="0" borderId="0" xfId="1" applyNumberFormat="1" applyFont="1" applyFill="1"/>
    <xf numFmtId="3" fontId="2" fillId="0" borderId="5" xfId="1" applyNumberFormat="1" applyFont="1" applyBorder="1"/>
    <xf numFmtId="0" fontId="14" fillId="0" borderId="0" xfId="0" applyFont="1"/>
    <xf numFmtId="165" fontId="2" fillId="0" borderId="5" xfId="1" applyNumberFormat="1" applyFont="1" applyBorder="1"/>
    <xf numFmtId="0" fontId="2" fillId="0" borderId="0" xfId="0" applyFont="1"/>
    <xf numFmtId="0" fontId="3" fillId="0" borderId="0" xfId="0" applyFont="1" applyFill="1"/>
    <xf numFmtId="0" fontId="1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Fill="1"/>
    <xf numFmtId="165" fontId="2" fillId="0" borderId="0" xfId="1" applyNumberFormat="1" applyFont="1" applyFill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/>
    <xf numFmtId="165" fontId="2" fillId="0" borderId="0" xfId="0" applyNumberFormat="1" applyFont="1"/>
    <xf numFmtId="165" fontId="15" fillId="0" borderId="0" xfId="1" applyNumberFormat="1" applyFont="1" applyAlignment="1">
      <alignment horizontal="center"/>
    </xf>
    <xf numFmtId="165" fontId="15" fillId="0" borderId="0" xfId="1" applyNumberFormat="1" applyFont="1"/>
    <xf numFmtId="0" fontId="16" fillId="0" borderId="0" xfId="0" applyFont="1" applyFill="1"/>
    <xf numFmtId="165" fontId="16" fillId="0" borderId="0" xfId="0" applyNumberFormat="1" applyFont="1" applyFill="1"/>
    <xf numFmtId="0" fontId="13" fillId="0" borderId="0" xfId="0" applyFont="1" applyFill="1" applyAlignment="1">
      <alignment horizontal="center" wrapText="1"/>
    </xf>
    <xf numFmtId="0" fontId="16" fillId="0" borderId="0" xfId="0" applyFont="1" applyFill="1" applyAlignment="1">
      <alignment vertical="center" wrapText="1"/>
    </xf>
    <xf numFmtId="165" fontId="16" fillId="0" borderId="0" xfId="1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5" fontId="16" fillId="0" borderId="0" xfId="0" applyNumberFormat="1" applyFont="1" applyFill="1" applyAlignment="1">
      <alignment vertical="center"/>
    </xf>
    <xf numFmtId="0" fontId="0" fillId="0" borderId="0" xfId="0" applyBorder="1"/>
    <xf numFmtId="0" fontId="17" fillId="0" borderId="0" xfId="0" applyFont="1"/>
    <xf numFmtId="165" fontId="17" fillId="0" borderId="0" xfId="1" applyNumberFormat="1" applyFont="1"/>
    <xf numFmtId="165" fontId="17" fillId="0" borderId="0" xfId="0" applyNumberFormat="1" applyFont="1"/>
    <xf numFmtId="3" fontId="17" fillId="0" borderId="0" xfId="0" applyNumberFormat="1" applyFont="1"/>
    <xf numFmtId="0" fontId="18" fillId="0" borderId="0" xfId="0" applyFont="1"/>
    <xf numFmtId="165" fontId="18" fillId="0" borderId="0" xfId="0" applyNumberFormat="1" applyFont="1"/>
    <xf numFmtId="165" fontId="1" fillId="0" borderId="0" xfId="1" applyNumberFormat="1"/>
    <xf numFmtId="165" fontId="0" fillId="0" borderId="0" xfId="0" applyNumberFormat="1"/>
    <xf numFmtId="165" fontId="20" fillId="0" borderId="0" xfId="1" applyNumberFormat="1" applyFont="1" applyFill="1"/>
    <xf numFmtId="0" fontId="4" fillId="7" borderId="0" xfId="0" applyFont="1" applyFill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1" fillId="0" borderId="0" xfId="1" applyNumberFormat="1" applyFont="1"/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10" fillId="0" borderId="5" xfId="1" applyNumberFormat="1" applyFont="1" applyFill="1" applyBorder="1" applyAlignment="1">
      <alignment horizontal="right"/>
    </xf>
    <xf numFmtId="165" fontId="10" fillId="5" borderId="5" xfId="1" applyNumberFormat="1" applyFont="1" applyFill="1" applyBorder="1" applyAlignment="1">
      <alignment horizontal="right"/>
    </xf>
    <xf numFmtId="3" fontId="10" fillId="5" borderId="5" xfId="0" applyNumberFormat="1" applyFont="1" applyFill="1" applyBorder="1" applyAlignment="1">
      <alignment horizontal="right" wrapText="1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3" fillId="3" borderId="5" xfId="1" applyNumberFormat="1" applyFont="1" applyFill="1" applyBorder="1" applyAlignment="1">
      <alignment horizontal="center" wrapText="1"/>
    </xf>
    <xf numFmtId="0" fontId="2" fillId="6" borderId="5" xfId="0" quotePrefix="1" applyFont="1" applyFill="1" applyBorder="1" applyAlignment="1">
      <alignment horizontal="center" vertical="center"/>
    </xf>
    <xf numFmtId="0" fontId="3" fillId="6" borderId="5" xfId="0" quotePrefix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topLeftCell="A17" workbookViewId="0">
      <selection activeCell="C13" sqref="C13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8.140625" customWidth="1"/>
    <col min="6" max="6" width="14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6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1098946607</v>
      </c>
      <c r="D6" s="16">
        <f t="shared" ref="D6:H6" si="0">SUM(D7:D10)</f>
        <v>0</v>
      </c>
      <c r="E6" s="16">
        <f>SUM(E7:E10)</f>
        <v>751125112</v>
      </c>
      <c r="F6" s="16">
        <f>SUM(F7:F9)</f>
        <v>347821495</v>
      </c>
      <c r="G6" s="16">
        <f t="shared" si="0"/>
        <v>0</v>
      </c>
      <c r="H6" s="16">
        <f t="shared" si="0"/>
        <v>0</v>
      </c>
      <c r="I6" s="16">
        <f>SUM(I7:I9)</f>
        <v>347821495</v>
      </c>
      <c r="J6" s="17" t="s">
        <v>15</v>
      </c>
      <c r="K6" s="18"/>
      <c r="L6" s="19"/>
      <c r="M6" s="19"/>
      <c r="N6" s="10"/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233089239</v>
      </c>
      <c r="D7" s="24"/>
      <c r="E7" s="25">
        <f>3440000+7480000+2640000+660000+44000+22000+1400000+189222418+5572600+9050457+11252944+40673+610099+1626932+27116</f>
        <v>233089239</v>
      </c>
      <c r="F7" s="23">
        <f>H7+I7</f>
        <v>0</v>
      </c>
      <c r="G7" s="26"/>
      <c r="H7" s="27"/>
      <c r="I7" s="27">
        <f>C7+D7-E7+G7</f>
        <v>0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787133768</v>
      </c>
      <c r="D8" s="27"/>
      <c r="E8" s="25">
        <f>517496053+539820</f>
        <v>518035873</v>
      </c>
      <c r="F8" s="23">
        <f t="shared" ref="F8" si="1">H8+I8</f>
        <v>269097895</v>
      </c>
      <c r="G8" s="26"/>
      <c r="H8" s="27"/>
      <c r="I8" s="27">
        <f>C8+D8-E8+G8</f>
        <v>269097895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78723600</v>
      </c>
      <c r="D9" s="27"/>
      <c r="E9" s="25"/>
      <c r="F9" s="23">
        <f>H9+I9</f>
        <v>78723600</v>
      </c>
      <c r="G9" s="26"/>
      <c r="H9" s="27"/>
      <c r="I9" s="27">
        <f>C9+D9-E9+G9</f>
        <v>78723600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24</v>
      </c>
      <c r="C11" s="16">
        <f t="shared" ref="C11:I11" si="2">SUM(C12:C27)</f>
        <v>1019551552</v>
      </c>
      <c r="D11" s="16">
        <f t="shared" si="2"/>
        <v>0</v>
      </c>
      <c r="E11" s="33">
        <f t="shared" si="2"/>
        <v>0</v>
      </c>
      <c r="F11" s="16">
        <f t="shared" si="2"/>
        <v>1019551552</v>
      </c>
      <c r="G11" s="16">
        <f t="shared" si="2"/>
        <v>0</v>
      </c>
      <c r="H11" s="16">
        <f t="shared" si="2"/>
        <v>0</v>
      </c>
      <c r="I11" s="16">
        <f t="shared" si="2"/>
        <v>1019551552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0</v>
      </c>
      <c r="D12" s="36"/>
      <c r="E12" s="36"/>
      <c r="F12" s="23">
        <f t="shared" ref="F12:F44" si="3">H12+I12</f>
        <v>0</v>
      </c>
      <c r="G12" s="26"/>
      <c r="H12" s="31"/>
      <c r="I12" s="27">
        <f t="shared" ref="I12:I44" si="4">C12+D12-E12</f>
        <v>0</v>
      </c>
      <c r="J12" s="28" t="s">
        <v>15</v>
      </c>
      <c r="K12" s="10"/>
      <c r="L12" s="40"/>
      <c r="M12" s="40"/>
      <c r="N12" s="10">
        <f>D12+D13+D14+D15+D16+D17+D18+D25+D26+D27</f>
        <v>0</v>
      </c>
      <c r="O12" s="10">
        <f>E12+E13+E14+E15+E16+E17+E18+E25+E26+E27</f>
        <v>0</v>
      </c>
      <c r="P12" s="37" t="s">
        <v>28</v>
      </c>
      <c r="Q12" s="10">
        <f>F12+F13+F14+F15+F16+F17+F24+F25</f>
        <v>907634845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105513138</v>
      </c>
      <c r="D13" s="36"/>
      <c r="E13" s="36"/>
      <c r="F13" s="23">
        <f t="shared" si="3"/>
        <v>105513138</v>
      </c>
      <c r="G13" s="26"/>
      <c r="H13" s="31"/>
      <c r="I13" s="27">
        <f t="shared" si="4"/>
        <v>105513138</v>
      </c>
      <c r="J13" s="28" t="s">
        <v>15</v>
      </c>
      <c r="K13" s="3"/>
      <c r="L13" s="40">
        <f>SUM(D11:D44)</f>
        <v>0</v>
      </c>
      <c r="M13" s="40">
        <f>SUM(E11:E44)</f>
        <v>0</v>
      </c>
      <c r="N13" s="10">
        <f>D19</f>
        <v>0</v>
      </c>
      <c r="O13" s="10">
        <f>E19</f>
        <v>0</v>
      </c>
      <c r="P13" s="37" t="s">
        <v>31</v>
      </c>
      <c r="Q13" s="39">
        <f>F19</f>
        <v>2444037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786592700</v>
      </c>
      <c r="D14" s="36"/>
      <c r="E14" s="36"/>
      <c r="F14" s="23">
        <f t="shared" si="3"/>
        <v>786592700</v>
      </c>
      <c r="G14" s="26"/>
      <c r="H14" s="31"/>
      <c r="I14" s="27">
        <f t="shared" si="4"/>
        <v>786592700</v>
      </c>
      <c r="J14" s="28" t="s">
        <v>15</v>
      </c>
      <c r="K14" s="3"/>
      <c r="L14" s="40"/>
      <c r="M14" s="3"/>
      <c r="N14" s="10">
        <f>D23</f>
        <v>0</v>
      </c>
      <c r="O14" s="10">
        <f>E23</f>
        <v>0</v>
      </c>
      <c r="P14" s="37" t="s">
        <v>34</v>
      </c>
      <c r="Q14" s="39">
        <f>F23</f>
        <v>2823058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0</v>
      </c>
      <c r="D15" s="36"/>
      <c r="E15" s="36"/>
      <c r="F15" s="23">
        <f>H15+I15</f>
        <v>0</v>
      </c>
      <c r="G15" s="26"/>
      <c r="H15" s="31"/>
      <c r="I15" s="27">
        <f t="shared" si="4"/>
        <v>0</v>
      </c>
      <c r="J15" s="28" t="s">
        <v>15</v>
      </c>
      <c r="K15" s="3"/>
      <c r="L15" s="3"/>
      <c r="M15" s="3"/>
      <c r="N15" s="10">
        <f>D21</f>
        <v>0</v>
      </c>
      <c r="O15" s="10">
        <f>E21</f>
        <v>0</v>
      </c>
      <c r="P15" s="37" t="s">
        <v>37</v>
      </c>
      <c r="Q15" s="39">
        <f>F21</f>
        <v>22975083</v>
      </c>
    </row>
    <row r="16" spans="1:31" s="4" customFormat="1" ht="16.5" customHeight="1" x14ac:dyDescent="0.25">
      <c r="A16" s="21" t="s">
        <v>38</v>
      </c>
      <c r="B16" s="41" t="s">
        <v>53</v>
      </c>
      <c r="C16" s="23">
        <v>0</v>
      </c>
      <c r="D16" s="36"/>
      <c r="E16" s="36"/>
      <c r="F16" s="23">
        <f>H16+I16</f>
        <v>0</v>
      </c>
      <c r="G16" s="26"/>
      <c r="H16" s="31"/>
      <c r="I16" s="27">
        <f t="shared" si="4"/>
        <v>0</v>
      </c>
      <c r="J16" s="28" t="s">
        <v>15</v>
      </c>
      <c r="K16" s="3"/>
      <c r="L16" s="3"/>
      <c r="M16" s="3"/>
      <c r="N16" s="10">
        <f>D20</f>
        <v>0</v>
      </c>
      <c r="O16" s="10">
        <f>E20</f>
        <v>0</v>
      </c>
      <c r="P16" s="37" t="s">
        <v>40</v>
      </c>
      <c r="Q16" s="39">
        <f>F20</f>
        <v>47371754</v>
      </c>
    </row>
    <row r="17" spans="1:17" s="4" customFormat="1" ht="16.5" customHeight="1" x14ac:dyDescent="0.25">
      <c r="A17" s="21" t="s">
        <v>41</v>
      </c>
      <c r="B17" s="41" t="s">
        <v>55</v>
      </c>
      <c r="C17" s="23">
        <v>6296420</v>
      </c>
      <c r="D17" s="36"/>
      <c r="E17" s="36"/>
      <c r="F17" s="23">
        <f t="shared" si="3"/>
        <v>6296420</v>
      </c>
      <c r="G17" s="26"/>
      <c r="H17" s="31"/>
      <c r="I17" s="27">
        <f t="shared" si="4"/>
        <v>6296420</v>
      </c>
      <c r="J17" s="28" t="s">
        <v>15</v>
      </c>
      <c r="K17" s="3"/>
      <c r="L17" s="3"/>
      <c r="M17" s="3"/>
      <c r="N17" s="10">
        <f>D22</f>
        <v>0</v>
      </c>
      <c r="O17" s="10">
        <f>E22</f>
        <v>0</v>
      </c>
      <c r="P17" s="37" t="s">
        <v>43</v>
      </c>
      <c r="Q17" s="39">
        <f>F22</f>
        <v>36302775</v>
      </c>
    </row>
    <row r="18" spans="1:17" s="4" customFormat="1" ht="16.5" customHeight="1" x14ac:dyDescent="0.25">
      <c r="A18" s="21" t="s">
        <v>44</v>
      </c>
      <c r="B18" s="41" t="s">
        <v>57</v>
      </c>
      <c r="C18" s="23">
        <v>0</v>
      </c>
      <c r="D18" s="36"/>
      <c r="E18" s="36"/>
      <c r="F18" s="23">
        <f t="shared" si="3"/>
        <v>0</v>
      </c>
      <c r="G18" s="26"/>
      <c r="H18" s="31"/>
      <c r="I18" s="27">
        <f t="shared" si="4"/>
        <v>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59</v>
      </c>
      <c r="C19" s="23">
        <v>2444037</v>
      </c>
      <c r="D19" s="42"/>
      <c r="E19" s="36"/>
      <c r="F19" s="23">
        <f t="shared" si="3"/>
        <v>2444037</v>
      </c>
      <c r="G19" s="26"/>
      <c r="H19" s="31"/>
      <c r="I19" s="27">
        <f t="shared" si="4"/>
        <v>2444037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61</v>
      </c>
      <c r="C20" s="23">
        <v>47371754</v>
      </c>
      <c r="D20" s="43"/>
      <c r="E20" s="36"/>
      <c r="F20" s="23">
        <f>H20+I20</f>
        <v>47371754</v>
      </c>
      <c r="G20" s="26"/>
      <c r="H20" s="31"/>
      <c r="I20" s="27">
        <f>C20+D20-E20</f>
        <v>47371754</v>
      </c>
      <c r="J20" s="28" t="s">
        <v>15</v>
      </c>
      <c r="K20" s="3"/>
      <c r="L20" s="3"/>
      <c r="M20" s="3"/>
      <c r="N20" s="2">
        <f>SUM(D29:D38)</f>
        <v>0</v>
      </c>
      <c r="O20" s="40">
        <f>SUM(E29:E38)</f>
        <v>0</v>
      </c>
      <c r="P20" s="37" t="s">
        <v>28</v>
      </c>
      <c r="Q20" s="39">
        <f>SUM(F29:F38)</f>
        <v>421866408</v>
      </c>
    </row>
    <row r="21" spans="1:17" s="4" customFormat="1" ht="16.5" customHeight="1" x14ac:dyDescent="0.25">
      <c r="A21" s="21" t="s">
        <v>50</v>
      </c>
      <c r="B21" s="41" t="s">
        <v>63</v>
      </c>
      <c r="C21" s="23">
        <v>22975083</v>
      </c>
      <c r="D21" s="42"/>
      <c r="E21" s="36"/>
      <c r="F21" s="23">
        <f t="shared" si="3"/>
        <v>22975083</v>
      </c>
      <c r="G21" s="26"/>
      <c r="H21" s="31"/>
      <c r="I21" s="27">
        <f t="shared" si="4"/>
        <v>22975083</v>
      </c>
      <c r="J21" s="28" t="s">
        <v>15</v>
      </c>
      <c r="K21" s="3"/>
      <c r="L21" s="3"/>
      <c r="M21" s="3"/>
    </row>
    <row r="22" spans="1:17" s="4" customFormat="1" ht="16.5" customHeight="1" x14ac:dyDescent="0.25">
      <c r="A22" s="21" t="s">
        <v>52</v>
      </c>
      <c r="B22" s="41" t="s">
        <v>65</v>
      </c>
      <c r="C22" s="23">
        <v>36302775</v>
      </c>
      <c r="D22" s="42"/>
      <c r="E22" s="43"/>
      <c r="F22" s="23">
        <f t="shared" si="3"/>
        <v>36302775</v>
      </c>
      <c r="G22" s="26"/>
      <c r="H22" s="31"/>
      <c r="I22" s="27">
        <f t="shared" si="4"/>
        <v>36302775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67</v>
      </c>
      <c r="C23" s="23">
        <v>2823058</v>
      </c>
      <c r="D23" s="42"/>
      <c r="E23" s="43"/>
      <c r="F23" s="23">
        <f t="shared" si="3"/>
        <v>2823058</v>
      </c>
      <c r="G23" s="26"/>
      <c r="H23" s="31"/>
      <c r="I23" s="27">
        <f t="shared" si="4"/>
        <v>2823058</v>
      </c>
      <c r="J23" s="28" t="s">
        <v>15</v>
      </c>
      <c r="K23" s="3"/>
      <c r="L23" s="3"/>
      <c r="M23" s="3"/>
    </row>
    <row r="24" spans="1:17" s="4" customFormat="1" ht="16.5" customHeight="1" x14ac:dyDescent="0.25">
      <c r="A24" s="21" t="s">
        <v>56</v>
      </c>
      <c r="B24" s="41" t="s">
        <v>69</v>
      </c>
      <c r="C24" s="23">
        <v>872587</v>
      </c>
      <c r="D24" s="44"/>
      <c r="E24" s="45"/>
      <c r="F24" s="23">
        <f>H24+I24</f>
        <v>872587</v>
      </c>
      <c r="G24" s="26"/>
      <c r="H24" s="31"/>
      <c r="I24" s="27">
        <f t="shared" si="4"/>
        <v>872587</v>
      </c>
      <c r="J24" s="28" t="s">
        <v>15</v>
      </c>
    </row>
    <row r="25" spans="1:17" s="4" customFormat="1" ht="16.5" customHeight="1" x14ac:dyDescent="0.25">
      <c r="A25" s="21" t="s">
        <v>58</v>
      </c>
      <c r="B25" s="41" t="s">
        <v>71</v>
      </c>
      <c r="C25" s="23">
        <v>8360000</v>
      </c>
      <c r="D25" s="44"/>
      <c r="E25" s="45"/>
      <c r="F25" s="23">
        <f t="shared" si="3"/>
        <v>8360000</v>
      </c>
      <c r="G25" s="26"/>
      <c r="H25" s="31"/>
      <c r="I25" s="27">
        <f t="shared" si="4"/>
        <v>8360000</v>
      </c>
      <c r="J25" s="28" t="s">
        <v>15</v>
      </c>
    </row>
    <row r="26" spans="1:17" s="4" customFormat="1" hidden="1" x14ac:dyDescent="0.25">
      <c r="A26" s="46" t="s">
        <v>62</v>
      </c>
      <c r="B26" s="41" t="s">
        <v>72</v>
      </c>
      <c r="C26" s="23">
        <v>0</v>
      </c>
      <c r="D26" s="42"/>
      <c r="E26" s="36"/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  <c r="K26" s="3"/>
      <c r="L26" s="3"/>
      <c r="M26" s="3"/>
    </row>
    <row r="27" spans="1:17" s="4" customFormat="1" hidden="1" x14ac:dyDescent="0.25">
      <c r="A27" s="46" t="s">
        <v>64</v>
      </c>
      <c r="B27" s="41" t="s">
        <v>73</v>
      </c>
      <c r="C27" s="23">
        <v>0</v>
      </c>
      <c r="D27" s="42"/>
      <c r="E27" s="43"/>
      <c r="F27" s="23">
        <f t="shared" si="3"/>
        <v>0</v>
      </c>
      <c r="G27" s="26"/>
      <c r="H27" s="31"/>
      <c r="I27" s="27">
        <f t="shared" si="4"/>
        <v>0</v>
      </c>
      <c r="J27" s="28" t="s">
        <v>15</v>
      </c>
    </row>
    <row r="28" spans="1:17" s="50" customFormat="1" ht="16.5" customHeight="1" x14ac:dyDescent="0.25">
      <c r="A28" s="47"/>
      <c r="B28" s="48" t="s">
        <v>74</v>
      </c>
      <c r="C28" s="33">
        <f>SUM(C29:C38)</f>
        <v>421866408</v>
      </c>
      <c r="D28" s="33">
        <f>SUM(D29:D38)</f>
        <v>0</v>
      </c>
      <c r="E28" s="33">
        <f>SUM(E29:E38)</f>
        <v>0</v>
      </c>
      <c r="F28" s="33">
        <f>SUM(F29:F38)</f>
        <v>421866408</v>
      </c>
      <c r="G28" s="33"/>
      <c r="H28" s="33"/>
      <c r="I28" s="33">
        <f>SUM(I29:I38)</f>
        <v>421866408</v>
      </c>
      <c r="J28" s="49"/>
      <c r="N28" s="56">
        <f>3000000+3186400+3468460+193000</f>
        <v>9847860</v>
      </c>
    </row>
    <row r="29" spans="1:17" s="55" customFormat="1" ht="16.5" customHeight="1" x14ac:dyDescent="0.25">
      <c r="A29" s="51" t="s">
        <v>60</v>
      </c>
      <c r="B29" s="52" t="s">
        <v>27</v>
      </c>
      <c r="C29" s="23">
        <v>3000000</v>
      </c>
      <c r="D29" s="53"/>
      <c r="E29" s="45"/>
      <c r="F29" s="23">
        <f>H29+I29</f>
        <v>3000000</v>
      </c>
      <c r="G29" s="26"/>
      <c r="H29" s="45"/>
      <c r="I29" s="54">
        <f>C29+D29-E29</f>
        <v>3000000</v>
      </c>
      <c r="J29" s="28" t="s">
        <v>15</v>
      </c>
      <c r="N29" s="105" t="s">
        <v>96</v>
      </c>
      <c r="O29" s="104">
        <v>328842</v>
      </c>
    </row>
    <row r="30" spans="1:17" s="55" customFormat="1" ht="16.5" customHeight="1" x14ac:dyDescent="0.25">
      <c r="A30" s="51" t="s">
        <v>62</v>
      </c>
      <c r="B30" s="52" t="s">
        <v>30</v>
      </c>
      <c r="C30" s="23">
        <v>100498022</v>
      </c>
      <c r="D30" s="53"/>
      <c r="E30" s="45"/>
      <c r="F30" s="23">
        <f t="shared" ref="F30:F40" si="5">H30+I30</f>
        <v>100498022</v>
      </c>
      <c r="G30" s="26"/>
      <c r="H30" s="45"/>
      <c r="I30" s="54">
        <f t="shared" ref="I30:I40" si="6">C30+D30-E30</f>
        <v>100498022</v>
      </c>
      <c r="J30" s="28" t="s">
        <v>15</v>
      </c>
      <c r="N30" s="56" t="s">
        <v>94</v>
      </c>
      <c r="O30" s="56">
        <f>O29*40%</f>
        <v>131536.80000000002</v>
      </c>
    </row>
    <row r="31" spans="1:17" s="55" customFormat="1" ht="16.5" customHeight="1" x14ac:dyDescent="0.25">
      <c r="A31" s="51" t="s">
        <v>64</v>
      </c>
      <c r="B31" s="52" t="s">
        <v>33</v>
      </c>
      <c r="C31" s="23">
        <v>21126668</v>
      </c>
      <c r="D31" s="53"/>
      <c r="E31" s="45"/>
      <c r="F31" s="23">
        <f t="shared" si="5"/>
        <v>21126668</v>
      </c>
      <c r="G31" s="26"/>
      <c r="H31" s="45"/>
      <c r="I31" s="54">
        <f t="shared" si="6"/>
        <v>21126668</v>
      </c>
      <c r="J31" s="28" t="s">
        <v>15</v>
      </c>
      <c r="N31" s="56" t="s">
        <v>95</v>
      </c>
      <c r="O31" s="56">
        <f>O29*60%</f>
        <v>197305.19999999998</v>
      </c>
    </row>
    <row r="32" spans="1:17" s="4" customFormat="1" ht="16.5" customHeight="1" x14ac:dyDescent="0.25">
      <c r="A32" s="51" t="s">
        <v>66</v>
      </c>
      <c r="B32" s="41" t="s">
        <v>36</v>
      </c>
      <c r="C32" s="23">
        <v>32932114</v>
      </c>
      <c r="D32" s="57"/>
      <c r="E32" s="36"/>
      <c r="F32" s="23">
        <f t="shared" si="3"/>
        <v>32932114</v>
      </c>
      <c r="G32" s="26"/>
      <c r="H32" s="31"/>
      <c r="I32" s="54">
        <f t="shared" si="6"/>
        <v>32932114</v>
      </c>
      <c r="J32" s="28" t="s">
        <v>15</v>
      </c>
      <c r="N32" s="20"/>
      <c r="O32" s="20"/>
    </row>
    <row r="33" spans="1:23" s="4" customFormat="1" ht="16.5" customHeight="1" x14ac:dyDescent="0.25">
      <c r="A33" s="51" t="s">
        <v>68</v>
      </c>
      <c r="B33" s="41" t="s">
        <v>42</v>
      </c>
      <c r="C33" s="23">
        <v>21625874</v>
      </c>
      <c r="D33" s="57"/>
      <c r="E33" s="36"/>
      <c r="F33" s="23">
        <f t="shared" si="5"/>
        <v>21625874</v>
      </c>
      <c r="G33" s="26"/>
      <c r="H33" s="31"/>
      <c r="I33" s="54">
        <f t="shared" si="6"/>
        <v>21625874</v>
      </c>
      <c r="J33" s="28" t="s">
        <v>15</v>
      </c>
      <c r="N33" s="20"/>
      <c r="O33" s="20"/>
    </row>
    <row r="34" spans="1:23" s="4" customFormat="1" ht="16.5" customHeight="1" x14ac:dyDescent="0.25">
      <c r="A34" s="51" t="s">
        <v>70</v>
      </c>
      <c r="B34" s="41" t="s">
        <v>47</v>
      </c>
      <c r="C34" s="23">
        <v>91456448</v>
      </c>
      <c r="D34" s="57"/>
      <c r="E34" s="36"/>
      <c r="F34" s="23">
        <f t="shared" si="5"/>
        <v>91456448</v>
      </c>
      <c r="G34" s="26"/>
      <c r="H34" s="31"/>
      <c r="I34" s="54">
        <f t="shared" si="6"/>
        <v>91456448</v>
      </c>
      <c r="J34" s="28" t="s">
        <v>15</v>
      </c>
      <c r="N34" s="20"/>
      <c r="O34" s="20"/>
    </row>
    <row r="35" spans="1:23" s="4" customFormat="1" ht="16.5" customHeight="1" x14ac:dyDescent="0.25">
      <c r="A35" s="51" t="s">
        <v>75</v>
      </c>
      <c r="B35" s="41" t="s">
        <v>49</v>
      </c>
      <c r="C35" s="23">
        <v>24029000</v>
      </c>
      <c r="D35" s="57"/>
      <c r="E35" s="36"/>
      <c r="F35" s="23">
        <f t="shared" si="5"/>
        <v>24029000</v>
      </c>
      <c r="G35" s="26"/>
      <c r="H35" s="31"/>
      <c r="I35" s="54">
        <f t="shared" si="6"/>
        <v>24029000</v>
      </c>
      <c r="J35" s="28" t="s">
        <v>15</v>
      </c>
      <c r="N35" s="20"/>
      <c r="O35" s="20"/>
    </row>
    <row r="36" spans="1:23" s="4" customFormat="1" ht="16.5" customHeight="1" x14ac:dyDescent="0.25">
      <c r="A36" s="51" t="s">
        <v>76</v>
      </c>
      <c r="B36" s="41" t="s">
        <v>51</v>
      </c>
      <c r="C36" s="23">
        <v>89924960</v>
      </c>
      <c r="D36" s="57"/>
      <c r="E36" s="36"/>
      <c r="F36" s="23">
        <f>H36+I36</f>
        <v>89924960</v>
      </c>
      <c r="G36" s="26"/>
      <c r="H36" s="31"/>
      <c r="I36" s="54">
        <f>C36+D36-E36</f>
        <v>89924960</v>
      </c>
      <c r="J36" s="28" t="s">
        <v>15</v>
      </c>
      <c r="N36" s="20"/>
      <c r="O36" s="20"/>
    </row>
    <row r="37" spans="1:23" s="4" customFormat="1" ht="16.5" customHeight="1" x14ac:dyDescent="0.25">
      <c r="A37" s="51" t="s">
        <v>77</v>
      </c>
      <c r="B37" s="41" t="s">
        <v>53</v>
      </c>
      <c r="C37" s="23">
        <v>27623322</v>
      </c>
      <c r="D37" s="57"/>
      <c r="E37" s="36"/>
      <c r="F37" s="23">
        <f t="shared" si="5"/>
        <v>27623322</v>
      </c>
      <c r="G37" s="26"/>
      <c r="H37" s="31"/>
      <c r="I37" s="54">
        <f t="shared" si="6"/>
        <v>27623322</v>
      </c>
      <c r="J37" s="28" t="s">
        <v>15</v>
      </c>
      <c r="N37" s="20"/>
      <c r="O37" s="20"/>
    </row>
    <row r="38" spans="1:23" s="4" customFormat="1" ht="16.5" customHeight="1" x14ac:dyDescent="0.25">
      <c r="A38" s="51" t="s">
        <v>78</v>
      </c>
      <c r="B38" s="41" t="s">
        <v>57</v>
      </c>
      <c r="C38" s="23">
        <v>9650000</v>
      </c>
      <c r="D38" s="57"/>
      <c r="E38" s="36"/>
      <c r="F38" s="23">
        <f t="shared" si="5"/>
        <v>9650000</v>
      </c>
      <c r="G38" s="26"/>
      <c r="H38" s="31"/>
      <c r="I38" s="54">
        <f t="shared" si="6"/>
        <v>9650000</v>
      </c>
      <c r="J38" s="28" t="s">
        <v>15</v>
      </c>
      <c r="N38" s="20"/>
      <c r="O38" s="20"/>
    </row>
    <row r="39" spans="1:23" s="4" customFormat="1" ht="16.5" customHeight="1" x14ac:dyDescent="0.25">
      <c r="A39" s="111" t="s">
        <v>97</v>
      </c>
      <c r="B39" s="41" t="s">
        <v>59</v>
      </c>
      <c r="C39" s="23">
        <v>197305</v>
      </c>
      <c r="D39" s="57"/>
      <c r="E39" s="36"/>
      <c r="F39" s="23">
        <f t="shared" si="5"/>
        <v>197305</v>
      </c>
      <c r="G39" s="26"/>
      <c r="H39" s="31"/>
      <c r="I39" s="54">
        <f t="shared" si="6"/>
        <v>197305</v>
      </c>
      <c r="J39" s="28" t="s">
        <v>15</v>
      </c>
      <c r="N39" s="20"/>
      <c r="O39" s="20"/>
    </row>
    <row r="40" spans="1:23" s="4" customFormat="1" ht="16.5" customHeight="1" x14ac:dyDescent="0.25">
      <c r="A40" s="111" t="s">
        <v>98</v>
      </c>
      <c r="B40" s="41" t="s">
        <v>69</v>
      </c>
      <c r="C40" s="23">
        <v>131537</v>
      </c>
      <c r="D40" s="42"/>
      <c r="E40" s="43"/>
      <c r="F40" s="23">
        <f t="shared" si="5"/>
        <v>131537</v>
      </c>
      <c r="G40" s="26"/>
      <c r="H40" s="31"/>
      <c r="I40" s="54">
        <f t="shared" si="6"/>
        <v>131537</v>
      </c>
      <c r="J40" s="28" t="s">
        <v>15</v>
      </c>
      <c r="N40" s="20"/>
      <c r="O40" s="20"/>
    </row>
    <row r="41" spans="1:23" s="4" customFormat="1" hidden="1" x14ac:dyDescent="0.25">
      <c r="A41" s="58"/>
      <c r="B41" s="32" t="s">
        <v>79</v>
      </c>
      <c r="C41" s="59">
        <v>0</v>
      </c>
      <c r="D41" s="59">
        <f t="shared" ref="D41:H41" si="7">D42</f>
        <v>0</v>
      </c>
      <c r="E41" s="59">
        <f t="shared" si="7"/>
        <v>0</v>
      </c>
      <c r="F41" s="59">
        <f>F42</f>
        <v>0</v>
      </c>
      <c r="G41" s="59">
        <f t="shared" si="7"/>
        <v>0</v>
      </c>
      <c r="H41" s="59">
        <f t="shared" si="7"/>
        <v>0</v>
      </c>
      <c r="I41" s="59">
        <f>I42</f>
        <v>0</v>
      </c>
      <c r="J41" s="60" t="s">
        <v>15</v>
      </c>
      <c r="K41" s="61"/>
      <c r="L41" s="61"/>
      <c r="M41" s="61"/>
    </row>
    <row r="42" spans="1:23" s="4" customFormat="1" hidden="1" x14ac:dyDescent="0.25">
      <c r="A42" s="46" t="s">
        <v>68</v>
      </c>
      <c r="B42" s="41" t="s">
        <v>80</v>
      </c>
      <c r="C42" s="62">
        <v>0</v>
      </c>
      <c r="D42" s="63"/>
      <c r="E42" s="45"/>
      <c r="F42" s="23">
        <f t="shared" si="3"/>
        <v>0</v>
      </c>
      <c r="G42" s="26"/>
      <c r="H42" s="31"/>
      <c r="I42" s="27">
        <f t="shared" si="4"/>
        <v>0</v>
      </c>
      <c r="J42" s="28" t="s">
        <v>15</v>
      </c>
      <c r="V42" s="64"/>
      <c r="W42" s="65"/>
    </row>
    <row r="43" spans="1:23" s="4" customFormat="1" hidden="1" x14ac:dyDescent="0.25">
      <c r="A43" s="46" t="s">
        <v>70</v>
      </c>
      <c r="B43" s="41"/>
      <c r="C43" s="62"/>
      <c r="D43" s="66"/>
      <c r="E43" s="45"/>
      <c r="F43" s="23"/>
      <c r="G43" s="26"/>
      <c r="H43" s="31"/>
      <c r="I43" s="27"/>
      <c r="J43" s="28"/>
      <c r="V43" s="67"/>
      <c r="W43" s="65"/>
    </row>
    <row r="44" spans="1:23" s="4" customFormat="1" hidden="1" x14ac:dyDescent="0.25">
      <c r="A44" s="46" t="s">
        <v>75</v>
      </c>
      <c r="B44" s="41" t="s">
        <v>81</v>
      </c>
      <c r="C44" s="23"/>
      <c r="D44" s="66"/>
      <c r="E44" s="68"/>
      <c r="F44" s="23">
        <f t="shared" si="3"/>
        <v>0</v>
      </c>
      <c r="G44" s="26"/>
      <c r="H44" s="31"/>
      <c r="I44" s="27">
        <f t="shared" si="4"/>
        <v>0</v>
      </c>
      <c r="J44" s="28" t="s">
        <v>82</v>
      </c>
      <c r="K44" s="69"/>
      <c r="L44" s="69"/>
      <c r="M44" s="69"/>
      <c r="N44" s="69"/>
      <c r="O44" s="69"/>
      <c r="V44" s="70"/>
      <c r="W44" s="65"/>
    </row>
    <row r="45" spans="1:23" s="4" customFormat="1" ht="16.5" customHeight="1" x14ac:dyDescent="0.25">
      <c r="A45" s="32"/>
      <c r="B45" s="48" t="s">
        <v>83</v>
      </c>
      <c r="C45" s="33">
        <f>(C6+C11+C28+C41+C44)</f>
        <v>2540364567</v>
      </c>
      <c r="D45" s="33">
        <f>(D6+D11+D28+D41+D44)</f>
        <v>0</v>
      </c>
      <c r="E45" s="33">
        <f>(E6+E11+E28+E41+E44)</f>
        <v>751125112</v>
      </c>
      <c r="F45" s="33">
        <f>(F6+F11+F28+F41+F44)</f>
        <v>1789239455</v>
      </c>
      <c r="G45" s="33"/>
      <c r="H45" s="33"/>
      <c r="I45" s="33">
        <f>(I6+I11+I28+I41+I44)</f>
        <v>1789239455</v>
      </c>
      <c r="J45" s="33"/>
      <c r="K45" s="3"/>
      <c r="L45" s="3"/>
      <c r="M45" s="3"/>
      <c r="N45" s="10"/>
      <c r="O45" s="3"/>
      <c r="V45" s="3"/>
      <c r="W45" s="71"/>
    </row>
    <row r="46" spans="1:23" s="4" customFormat="1" x14ac:dyDescent="0.25">
      <c r="A46" s="72"/>
      <c r="B46" s="73"/>
      <c r="C46" s="74"/>
      <c r="D46" s="74"/>
      <c r="E46" s="74"/>
      <c r="F46" s="74"/>
      <c r="G46" s="74"/>
      <c r="H46" s="74"/>
      <c r="I46" s="74"/>
      <c r="J46" s="74"/>
      <c r="K46" s="3"/>
      <c r="L46" s="3"/>
      <c r="M46" s="3"/>
      <c r="N46" s="3"/>
      <c r="O46" s="3"/>
      <c r="V46" s="3"/>
      <c r="W46" s="71"/>
    </row>
    <row r="47" spans="1:23" s="4" customFormat="1" x14ac:dyDescent="0.25">
      <c r="A47" s="6"/>
      <c r="B47" s="75"/>
      <c r="C47" s="75"/>
      <c r="D47" s="10"/>
      <c r="E47" s="10"/>
      <c r="F47" s="3"/>
      <c r="G47" s="3"/>
      <c r="H47" s="124" t="s">
        <v>93</v>
      </c>
      <c r="I47" s="124"/>
      <c r="J47" s="124"/>
      <c r="K47" s="3"/>
      <c r="L47" s="40" t="e">
        <f>#REF!-#REF!</f>
        <v>#REF!</v>
      </c>
      <c r="M47" s="3"/>
      <c r="N47" s="3"/>
      <c r="O47" s="3"/>
      <c r="V47" s="76"/>
      <c r="W47" s="77"/>
    </row>
    <row r="48" spans="1:23" s="4" customFormat="1" x14ac:dyDescent="0.25">
      <c r="A48" s="6"/>
      <c r="B48" s="6" t="s">
        <v>84</v>
      </c>
      <c r="C48" s="69"/>
      <c r="D48" s="78" t="s">
        <v>85</v>
      </c>
      <c r="E48" s="69"/>
      <c r="F48" s="6" t="s">
        <v>86</v>
      </c>
      <c r="G48" s="3"/>
      <c r="H48" s="125" t="s">
        <v>87</v>
      </c>
      <c r="I48" s="125"/>
      <c r="J48" s="125"/>
      <c r="K48" s="3"/>
      <c r="L48" s="3"/>
      <c r="M48" s="3"/>
      <c r="N48" s="3"/>
      <c r="O48" s="3"/>
      <c r="V48" s="76"/>
      <c r="W48" s="77"/>
    </row>
    <row r="49" spans="1:23" s="4" customFormat="1" x14ac:dyDescent="0.25">
      <c r="A49" s="3"/>
      <c r="B49" s="3"/>
      <c r="C49" s="3"/>
      <c r="D49" s="3"/>
      <c r="E49" s="3"/>
      <c r="F49" s="75"/>
      <c r="G49" s="10"/>
      <c r="H49" s="3"/>
      <c r="I49" s="3"/>
      <c r="J49" s="3"/>
      <c r="K49" s="3"/>
      <c r="L49" s="40"/>
      <c r="M49" s="3"/>
      <c r="N49" s="3"/>
      <c r="O49" s="3"/>
      <c r="V49" s="70"/>
      <c r="W49" s="79"/>
    </row>
    <row r="50" spans="1:23" s="4" customFormat="1" x14ac:dyDescent="0.25">
      <c r="A50" s="3"/>
      <c r="B50" s="3"/>
      <c r="C50" s="3"/>
      <c r="D50" s="3"/>
      <c r="E50" s="10"/>
      <c r="F50" s="75"/>
      <c r="G50" s="3"/>
      <c r="H50" s="3"/>
      <c r="I50" s="3"/>
      <c r="J50" s="3"/>
      <c r="K50" s="3"/>
      <c r="L50" s="40"/>
      <c r="M50" s="3"/>
      <c r="N50" s="3"/>
      <c r="O50" s="3"/>
      <c r="Q50" s="11"/>
      <c r="V50" s="70"/>
      <c r="W50" s="79"/>
    </row>
    <row r="51" spans="1:23" s="4" customFormat="1" x14ac:dyDescent="0.25">
      <c r="A51" s="3"/>
      <c r="B51" s="3"/>
      <c r="C51" s="3"/>
      <c r="D51" s="3"/>
      <c r="E51" s="3"/>
      <c r="F51" s="75"/>
      <c r="G51" s="10"/>
      <c r="H51" s="3"/>
      <c r="I51" s="3"/>
      <c r="J51" s="3"/>
      <c r="K51" s="3"/>
      <c r="L51" s="40"/>
      <c r="M51" s="3"/>
      <c r="N51" s="3"/>
      <c r="O51" s="3"/>
      <c r="V51" s="70"/>
      <c r="W51" s="79"/>
    </row>
    <row r="52" spans="1:23" s="4" customFormat="1" x14ac:dyDescent="0.25">
      <c r="A52" s="3"/>
      <c r="B52" s="6" t="s">
        <v>88</v>
      </c>
      <c r="C52" s="3"/>
      <c r="D52" s="6" t="s">
        <v>89</v>
      </c>
      <c r="E52" s="3"/>
      <c r="F52" s="6" t="s">
        <v>90</v>
      </c>
      <c r="G52" s="69"/>
      <c r="H52" s="126" t="s">
        <v>91</v>
      </c>
      <c r="I52" s="126"/>
      <c r="J52" s="126"/>
      <c r="K52" s="3"/>
      <c r="L52" s="3"/>
      <c r="M52" s="3"/>
      <c r="N52" s="3"/>
      <c r="O52" s="3"/>
      <c r="V52" s="70"/>
      <c r="W52" s="79"/>
    </row>
    <row r="53" spans="1:23" x14ac:dyDescent="0.25">
      <c r="A53" s="80"/>
      <c r="B53" s="81"/>
      <c r="C53" s="80"/>
      <c r="D53" s="80"/>
      <c r="E53" s="80"/>
      <c r="F53" s="82"/>
      <c r="G53" s="83"/>
      <c r="H53" s="84"/>
      <c r="I53" s="84"/>
      <c r="J53" s="84"/>
      <c r="K53" s="80"/>
      <c r="L53" s="80"/>
      <c r="M53" s="80"/>
      <c r="N53" s="80"/>
      <c r="O53" s="80"/>
      <c r="V53" s="3"/>
      <c r="W53" s="85"/>
    </row>
    <row r="54" spans="1:23" ht="17.25" x14ac:dyDescent="0.3">
      <c r="A54" s="80"/>
      <c r="F54" s="86"/>
      <c r="G54" s="80"/>
      <c r="H54" s="80"/>
      <c r="I54" s="87"/>
      <c r="J54" s="80"/>
      <c r="K54" s="80"/>
      <c r="L54" s="80"/>
      <c r="M54" s="80"/>
      <c r="N54" s="80"/>
      <c r="O54" s="80"/>
      <c r="V54" s="88"/>
      <c r="W54" s="89"/>
    </row>
    <row r="55" spans="1:23" ht="17.25" x14ac:dyDescent="0.3">
      <c r="V55" s="90"/>
      <c r="W55" s="89"/>
    </row>
    <row r="56" spans="1:23" ht="17.25" x14ac:dyDescent="0.25">
      <c r="A56" s="80"/>
      <c r="F56" s="80"/>
      <c r="G56" s="80"/>
      <c r="H56" s="80"/>
      <c r="I56" s="87"/>
      <c r="J56" s="80"/>
      <c r="K56" s="80"/>
      <c r="L56" s="80"/>
      <c r="M56" s="80"/>
      <c r="N56" s="80"/>
      <c r="O56" s="80"/>
      <c r="V56" s="91"/>
      <c r="W56" s="92"/>
    </row>
    <row r="57" spans="1:23" ht="17.25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3"/>
      <c r="W57" s="94"/>
    </row>
    <row r="58" spans="1:23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5"/>
      <c r="W58" s="95"/>
    </row>
    <row r="59" spans="1:23" x14ac:dyDescent="0.25">
      <c r="A59" s="80"/>
      <c r="F59" s="80"/>
      <c r="G59" s="80"/>
      <c r="H59" s="80"/>
      <c r="I59" s="87"/>
      <c r="J59" s="80"/>
      <c r="K59" s="80"/>
      <c r="L59" s="80"/>
      <c r="M59" s="80"/>
      <c r="N59" s="80"/>
      <c r="O59" s="80"/>
      <c r="V59" s="95"/>
      <c r="W59" s="95"/>
    </row>
    <row r="60" spans="1:23" ht="15.75" x14ac:dyDescent="0.3">
      <c r="A60" s="96"/>
      <c r="F60" s="96"/>
      <c r="G60" s="96"/>
      <c r="H60" s="96"/>
      <c r="I60" s="97"/>
      <c r="J60" s="96"/>
      <c r="V60" s="95"/>
      <c r="W60" s="95"/>
    </row>
    <row r="61" spans="1:23" ht="15.75" x14ac:dyDescent="0.3">
      <c r="A61" s="96"/>
      <c r="F61" s="96"/>
      <c r="G61" s="96"/>
      <c r="H61" s="96"/>
      <c r="I61" s="96"/>
      <c r="J61" s="96"/>
      <c r="V61" s="95"/>
      <c r="W61" s="95"/>
    </row>
    <row r="62" spans="1:23" ht="15.75" x14ac:dyDescent="0.3">
      <c r="A62" s="96"/>
      <c r="F62" s="98"/>
      <c r="G62" s="98"/>
      <c r="H62" s="96"/>
      <c r="I62" s="96"/>
      <c r="J62" s="96"/>
      <c r="V62" s="95"/>
      <c r="W62" s="95"/>
    </row>
    <row r="63" spans="1:23" ht="15.75" x14ac:dyDescent="0.3">
      <c r="A63" s="96"/>
      <c r="F63" s="98"/>
      <c r="G63" s="98"/>
      <c r="H63" s="96"/>
      <c r="I63" s="96"/>
      <c r="J63" s="96"/>
      <c r="V63" s="95"/>
      <c r="W63" s="95"/>
    </row>
    <row r="64" spans="1:23" ht="15.75" x14ac:dyDescent="0.3">
      <c r="A64" s="96"/>
      <c r="F64" s="96"/>
      <c r="G64" s="96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6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7"/>
      <c r="I68" s="96"/>
      <c r="J68" s="96"/>
      <c r="V68" s="95"/>
      <c r="W68" s="95"/>
    </row>
    <row r="69" spans="1:23" ht="15.75" x14ac:dyDescent="0.3">
      <c r="A69" s="96"/>
      <c r="F69" s="96"/>
      <c r="G69" s="96"/>
      <c r="H69" s="98"/>
      <c r="I69" s="96"/>
      <c r="J69" s="96"/>
      <c r="V69" s="95"/>
      <c r="W69" s="95"/>
    </row>
    <row r="70" spans="1:23" ht="15.75" x14ac:dyDescent="0.3">
      <c r="A70" s="96"/>
      <c r="F70" s="99"/>
      <c r="G70" s="99"/>
      <c r="H70" s="96"/>
      <c r="I70" s="96"/>
      <c r="J70" s="96"/>
      <c r="V70" s="95"/>
      <c r="W70" s="95"/>
    </row>
    <row r="71" spans="1:23" ht="15.75" x14ac:dyDescent="0.3">
      <c r="A71" s="96"/>
      <c r="F71" s="96"/>
      <c r="G71" s="96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  <c r="V78" s="95"/>
      <c r="W78" s="95"/>
    </row>
    <row r="79" spans="1:23" ht="15.75" x14ac:dyDescent="0.3">
      <c r="A79" s="96"/>
      <c r="F79" s="96"/>
      <c r="G79" s="96"/>
      <c r="H79" s="96"/>
      <c r="I79" s="96"/>
      <c r="J79" s="96"/>
    </row>
    <row r="80" spans="1:23" ht="15.75" customHeight="1" x14ac:dyDescent="0.35">
      <c r="A80" s="100"/>
      <c r="F80" s="101"/>
      <c r="G80" s="101"/>
      <c r="H80" s="100"/>
      <c r="I80" s="100"/>
      <c r="J80" s="100"/>
      <c r="K80" s="100"/>
      <c r="L80" s="100"/>
      <c r="M80" s="100"/>
      <c r="N80" s="100"/>
      <c r="O80" s="100"/>
    </row>
    <row r="82" spans="3:5" x14ac:dyDescent="0.25">
      <c r="C82" s="102"/>
      <c r="D82" s="102"/>
      <c r="E82" s="103"/>
    </row>
    <row r="83" spans="3:5" x14ac:dyDescent="0.25">
      <c r="C83" s="102"/>
      <c r="D83" s="102"/>
    </row>
    <row r="84" spans="3:5" x14ac:dyDescent="0.25">
      <c r="C84" s="102"/>
      <c r="D84" s="102"/>
    </row>
    <row r="85" spans="3:5" x14ac:dyDescent="0.25">
      <c r="C85" s="102"/>
      <c r="D85" s="102"/>
    </row>
    <row r="86" spans="3:5" x14ac:dyDescent="0.25">
      <c r="C86" s="102"/>
      <c r="D86" s="102"/>
    </row>
    <row r="87" spans="3:5" x14ac:dyDescent="0.25">
      <c r="C87" s="102"/>
      <c r="D87" s="102"/>
    </row>
    <row r="88" spans="3:5" x14ac:dyDescent="0.25">
      <c r="C88" s="102"/>
      <c r="D88" s="102"/>
    </row>
    <row r="89" spans="3:5" x14ac:dyDescent="0.25">
      <c r="C89" s="102"/>
      <c r="D89" s="102"/>
    </row>
    <row r="90" spans="3:5" x14ac:dyDescent="0.25">
      <c r="C90" s="102"/>
      <c r="D90" s="102"/>
    </row>
    <row r="91" spans="3:5" x14ac:dyDescent="0.25">
      <c r="C91" s="102"/>
      <c r="D91" s="102"/>
    </row>
    <row r="92" spans="3:5" x14ac:dyDescent="0.25">
      <c r="C92" s="102"/>
      <c r="D92" s="102"/>
    </row>
    <row r="93" spans="3:5" x14ac:dyDescent="0.25">
      <c r="C93" s="102"/>
      <c r="D93" s="102"/>
    </row>
    <row r="94" spans="3:5" x14ac:dyDescent="0.25">
      <c r="C94" s="102"/>
      <c r="D94" s="102"/>
    </row>
    <row r="95" spans="3:5" x14ac:dyDescent="0.25">
      <c r="C95" s="102"/>
      <c r="D95" s="102"/>
    </row>
    <row r="96" spans="3: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  <row r="101" spans="3:4" x14ac:dyDescent="0.25">
      <c r="C101" s="102"/>
      <c r="D101" s="102"/>
    </row>
  </sheetData>
  <mergeCells count="13">
    <mergeCell ref="H47:J47"/>
    <mergeCell ref="H48:J48"/>
    <mergeCell ref="H52:J52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7" right="0.7" top="0.5" bottom="0.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opLeftCell="A11" workbookViewId="0">
      <selection activeCell="A19" sqref="A19:XFD19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8.140625" customWidth="1"/>
    <col min="6" max="6" width="15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92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107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269097895</v>
      </c>
      <c r="D6" s="16">
        <f t="shared" ref="D6:H6" si="0">SUM(D7:D10)</f>
        <v>9063419000</v>
      </c>
      <c r="E6" s="16">
        <f>SUM(E7:E10)</f>
        <v>530159018</v>
      </c>
      <c r="F6" s="16">
        <f>SUM(F7:F9)</f>
        <v>8802357877</v>
      </c>
      <c r="G6" s="16">
        <f t="shared" si="0"/>
        <v>0</v>
      </c>
      <c r="H6" s="16">
        <f t="shared" si="0"/>
        <v>0</v>
      </c>
      <c r="I6" s="16">
        <f>SUM(I7:I9)</f>
        <v>8802357877</v>
      </c>
      <c r="J6" s="17" t="s">
        <v>15</v>
      </c>
      <c r="K6" s="18"/>
      <c r="L6" s="19"/>
      <c r="M6" s="19"/>
      <c r="N6" s="10"/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0</v>
      </c>
      <c r="D7" s="119">
        <v>6000632000</v>
      </c>
      <c r="E7" s="25">
        <f>302973766+30211206+8670402+3600000+87046859+5526785+330000</f>
        <v>438359018</v>
      </c>
      <c r="F7" s="23">
        <f>H7+I7</f>
        <v>5562272982</v>
      </c>
      <c r="G7" s="26"/>
      <c r="H7" s="27"/>
      <c r="I7" s="27">
        <f>C7+D7-E7+G7</f>
        <v>5562272982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269097895</v>
      </c>
      <c r="D8" s="119">
        <f>2753227000+117760000</f>
        <v>2870987000</v>
      </c>
      <c r="E8" s="25"/>
      <c r="F8" s="23">
        <f t="shared" ref="F8" si="1">H8+I8</f>
        <v>3140084895</v>
      </c>
      <c r="G8" s="26"/>
      <c r="H8" s="27"/>
      <c r="I8" s="27">
        <f>C8+D8-E8+G8</f>
        <v>3140084895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0</v>
      </c>
      <c r="D9" s="119">
        <f>100000000+91800000</f>
        <v>191800000</v>
      </c>
      <c r="E9" s="25">
        <f>91800000</f>
        <v>91800000</v>
      </c>
      <c r="F9" s="23">
        <f>H9+I9</f>
        <v>100000000</v>
      </c>
      <c r="G9" s="26"/>
      <c r="H9" s="27"/>
      <c r="I9" s="27">
        <f>C9+D9-E9+G9</f>
        <v>100000000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102</v>
      </c>
      <c r="C11" s="16">
        <f t="shared" ref="C11:I11" si="2">SUM(C12:C26)</f>
        <v>1029399412</v>
      </c>
      <c r="D11" s="16">
        <f t="shared" si="2"/>
        <v>640944594</v>
      </c>
      <c r="E11" s="33">
        <f t="shared" si="2"/>
        <v>821094833</v>
      </c>
      <c r="F11" s="16">
        <f t="shared" si="2"/>
        <v>849249173</v>
      </c>
      <c r="G11" s="16">
        <f t="shared" si="2"/>
        <v>0</v>
      </c>
      <c r="H11" s="16">
        <f t="shared" si="2"/>
        <v>0</v>
      </c>
      <c r="I11" s="16">
        <f t="shared" si="2"/>
        <v>849249173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0</v>
      </c>
      <c r="D12" s="36">
        <v>53800000</v>
      </c>
      <c r="E12" s="36"/>
      <c r="F12" s="23">
        <f t="shared" ref="F12:F43" si="3">H12+I12</f>
        <v>53800000</v>
      </c>
      <c r="G12" s="26"/>
      <c r="H12" s="31"/>
      <c r="I12" s="27">
        <f t="shared" ref="I12:I43" si="4">C12+D12-E12</f>
        <v>53800000</v>
      </c>
      <c r="J12" s="28" t="s">
        <v>15</v>
      </c>
      <c r="K12" s="10"/>
      <c r="L12" s="40"/>
      <c r="M12" s="40"/>
      <c r="N12" s="10">
        <f>D12+D13+D14+D15+D16+D17+D23+D24+D25+D26</f>
        <v>638639774</v>
      </c>
      <c r="O12" s="10">
        <f>E12+E13+E14+E15+E16+E17+E23+E24+E25+E26</f>
        <v>773069000</v>
      </c>
      <c r="P12" s="37" t="s">
        <v>28</v>
      </c>
      <c r="Q12" s="10">
        <f>F12+F13+F14+F15+F16+F17+F23+F24+F25</f>
        <v>783053479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115360998</v>
      </c>
      <c r="D13" s="36">
        <f>93873+4224150+15572751</f>
        <v>19890774</v>
      </c>
      <c r="E13" s="36"/>
      <c r="F13" s="23">
        <f t="shared" si="3"/>
        <v>135251772</v>
      </c>
      <c r="G13" s="26"/>
      <c r="H13" s="31"/>
      <c r="I13" s="27">
        <f t="shared" si="4"/>
        <v>135251772</v>
      </c>
      <c r="J13" s="28" t="s">
        <v>15</v>
      </c>
      <c r="K13" s="3"/>
      <c r="L13" s="40">
        <f>SUM(D11:D43)</f>
        <v>1593603188</v>
      </c>
      <c r="M13" s="40">
        <f>SUM(E11:E43)</f>
        <v>2040776168</v>
      </c>
      <c r="N13" s="10">
        <f>D18</f>
        <v>40673</v>
      </c>
      <c r="O13" s="10">
        <f>E18</f>
        <v>0</v>
      </c>
      <c r="P13" s="37" t="s">
        <v>31</v>
      </c>
      <c r="Q13" s="39">
        <f>F18</f>
        <v>2484710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786592700</v>
      </c>
      <c r="D14" s="36">
        <v>410872000</v>
      </c>
      <c r="E14" s="36">
        <f>759275000+13794000</f>
        <v>773069000</v>
      </c>
      <c r="F14" s="23">
        <f t="shared" si="3"/>
        <v>424395700</v>
      </c>
      <c r="G14" s="26"/>
      <c r="H14" s="31"/>
      <c r="I14" s="27">
        <f t="shared" si="4"/>
        <v>424395700</v>
      </c>
      <c r="J14" s="28" t="s">
        <v>15</v>
      </c>
      <c r="K14" s="3"/>
      <c r="L14" s="40"/>
      <c r="M14" s="3"/>
      <c r="N14" s="10">
        <f>D22</f>
        <v>0</v>
      </c>
      <c r="O14" s="10">
        <f>E22</f>
        <v>2823058</v>
      </c>
      <c r="P14" s="37" t="s">
        <v>34</v>
      </c>
      <c r="Q14" s="39">
        <f>F22</f>
        <v>0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0</v>
      </c>
      <c r="D15" s="36">
        <v>107040000</v>
      </c>
      <c r="E15" s="36"/>
      <c r="F15" s="23">
        <f>H15+I15</f>
        <v>107040000</v>
      </c>
      <c r="G15" s="26"/>
      <c r="H15" s="31"/>
      <c r="I15" s="27">
        <f t="shared" si="4"/>
        <v>107040000</v>
      </c>
      <c r="J15" s="28" t="s">
        <v>15</v>
      </c>
      <c r="K15" s="3"/>
      <c r="L15" s="3"/>
      <c r="M15" s="3"/>
      <c r="N15" s="10">
        <f>D20</f>
        <v>610099</v>
      </c>
      <c r="O15" s="10">
        <f>E20</f>
        <v>0</v>
      </c>
      <c r="P15" s="37" t="s">
        <v>37</v>
      </c>
      <c r="Q15" s="39">
        <f>F20</f>
        <v>23585182</v>
      </c>
    </row>
    <row r="16" spans="1:31" s="4" customFormat="1" ht="16.5" customHeight="1" x14ac:dyDescent="0.25">
      <c r="A16" s="21" t="s">
        <v>38</v>
      </c>
      <c r="B16" s="41" t="s">
        <v>55</v>
      </c>
      <c r="C16" s="23">
        <v>6296420</v>
      </c>
      <c r="D16" s="36">
        <v>22000</v>
      </c>
      <c r="E16" s="36"/>
      <c r="F16" s="23">
        <f t="shared" si="3"/>
        <v>6318420</v>
      </c>
      <c r="G16" s="26"/>
      <c r="H16" s="31"/>
      <c r="I16" s="27">
        <f t="shared" si="4"/>
        <v>6318420</v>
      </c>
      <c r="J16" s="28" t="s">
        <v>15</v>
      </c>
      <c r="K16" s="3"/>
      <c r="L16" s="3"/>
      <c r="M16" s="3"/>
      <c r="N16" s="10">
        <f>D19</f>
        <v>1626932</v>
      </c>
      <c r="O16" s="10">
        <f>E19</f>
        <v>8900000</v>
      </c>
      <c r="P16" s="37" t="s">
        <v>40</v>
      </c>
      <c r="Q16" s="39">
        <f>F19</f>
        <v>40098686</v>
      </c>
    </row>
    <row r="17" spans="1:17" s="4" customFormat="1" ht="16.5" customHeight="1" x14ac:dyDescent="0.25">
      <c r="A17" s="21" t="s">
        <v>41</v>
      </c>
      <c r="B17" s="41" t="s">
        <v>57</v>
      </c>
      <c r="C17" s="23">
        <v>0</v>
      </c>
      <c r="D17" s="36">
        <v>44775000</v>
      </c>
      <c r="E17" s="36"/>
      <c r="F17" s="23">
        <f t="shared" si="3"/>
        <v>44775000</v>
      </c>
      <c r="G17" s="26"/>
      <c r="H17" s="31"/>
      <c r="I17" s="27">
        <f t="shared" si="4"/>
        <v>44775000</v>
      </c>
      <c r="J17" s="28" t="s">
        <v>15</v>
      </c>
      <c r="K17" s="3"/>
      <c r="L17" s="3"/>
      <c r="M17" s="3"/>
      <c r="N17" s="10">
        <f>D21</f>
        <v>27116</v>
      </c>
      <c r="O17" s="10">
        <f>E21</f>
        <v>36302775</v>
      </c>
      <c r="P17" s="37" t="s">
        <v>43</v>
      </c>
      <c r="Q17" s="39">
        <f>F21</f>
        <v>27116</v>
      </c>
    </row>
    <row r="18" spans="1:17" s="4" customFormat="1" ht="16.5" customHeight="1" x14ac:dyDescent="0.25">
      <c r="A18" s="21" t="s">
        <v>44</v>
      </c>
      <c r="B18" s="41" t="s">
        <v>59</v>
      </c>
      <c r="C18" s="23">
        <v>2444037</v>
      </c>
      <c r="D18" s="42">
        <v>40673</v>
      </c>
      <c r="E18" s="36"/>
      <c r="F18" s="23">
        <f t="shared" si="3"/>
        <v>2484710</v>
      </c>
      <c r="G18" s="26"/>
      <c r="H18" s="31"/>
      <c r="I18" s="27">
        <f t="shared" si="4"/>
        <v>2484710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61</v>
      </c>
      <c r="C19" s="23">
        <v>47371754</v>
      </c>
      <c r="D19" s="43">
        <v>1626932</v>
      </c>
      <c r="E19" s="36">
        <f>900000+8000000</f>
        <v>8900000</v>
      </c>
      <c r="F19" s="23">
        <f>H19+I19</f>
        <v>40098686</v>
      </c>
      <c r="G19" s="26"/>
      <c r="H19" s="31"/>
      <c r="I19" s="27">
        <f>C19+D19-E19</f>
        <v>40098686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63</v>
      </c>
      <c r="C20" s="23">
        <v>22975083</v>
      </c>
      <c r="D20" s="42">
        <v>610099</v>
      </c>
      <c r="E20" s="36"/>
      <c r="F20" s="23">
        <f t="shared" si="3"/>
        <v>23585182</v>
      </c>
      <c r="G20" s="26"/>
      <c r="H20" s="31"/>
      <c r="I20" s="27">
        <f t="shared" si="4"/>
        <v>23585182</v>
      </c>
      <c r="J20" s="28" t="s">
        <v>15</v>
      </c>
      <c r="K20" s="3"/>
      <c r="L20" s="3"/>
      <c r="M20" s="3"/>
      <c r="N20" s="2">
        <f>SUM(D28:D37)</f>
        <v>155857000</v>
      </c>
      <c r="O20" s="40">
        <f>SUM(E28:E37)</f>
        <v>199293251</v>
      </c>
      <c r="P20" s="37" t="s">
        <v>28</v>
      </c>
      <c r="Q20" s="39">
        <f>SUM(F28:F37)</f>
        <v>368582297</v>
      </c>
    </row>
    <row r="21" spans="1:17" s="4" customFormat="1" ht="16.5" customHeight="1" x14ac:dyDescent="0.25">
      <c r="A21" s="21" t="s">
        <v>50</v>
      </c>
      <c r="B21" s="41" t="s">
        <v>65</v>
      </c>
      <c r="C21" s="23">
        <v>36302775</v>
      </c>
      <c r="D21" s="42">
        <v>27116</v>
      </c>
      <c r="E21" s="43">
        <v>36302775</v>
      </c>
      <c r="F21" s="23">
        <f t="shared" si="3"/>
        <v>27116</v>
      </c>
      <c r="G21" s="26"/>
      <c r="H21" s="31"/>
      <c r="I21" s="27">
        <f t="shared" si="4"/>
        <v>27116</v>
      </c>
      <c r="J21" s="28" t="s">
        <v>15</v>
      </c>
      <c r="K21" s="3"/>
      <c r="L21" s="3"/>
      <c r="M21" s="3"/>
    </row>
    <row r="22" spans="1:17" s="4" customFormat="1" ht="16.5" customHeight="1" x14ac:dyDescent="0.25">
      <c r="A22" s="21" t="s">
        <v>52</v>
      </c>
      <c r="B22" s="41" t="s">
        <v>67</v>
      </c>
      <c r="C22" s="23">
        <v>2823058</v>
      </c>
      <c r="D22" s="42"/>
      <c r="E22" s="43">
        <v>2823058</v>
      </c>
      <c r="F22" s="23">
        <f t="shared" si="3"/>
        <v>0</v>
      </c>
      <c r="G22" s="26"/>
      <c r="H22" s="31"/>
      <c r="I22" s="27">
        <f t="shared" si="4"/>
        <v>0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69</v>
      </c>
      <c r="C23" s="23">
        <v>872587</v>
      </c>
      <c r="D23" s="44"/>
      <c r="E23" s="45"/>
      <c r="F23" s="23">
        <f>H23+I23</f>
        <v>872587</v>
      </c>
      <c r="G23" s="26"/>
      <c r="H23" s="31"/>
      <c r="I23" s="27">
        <f t="shared" si="4"/>
        <v>872587</v>
      </c>
      <c r="J23" s="28" t="s">
        <v>15</v>
      </c>
    </row>
    <row r="24" spans="1:17" s="4" customFormat="1" ht="16.5" customHeight="1" x14ac:dyDescent="0.25">
      <c r="A24" s="21" t="s">
        <v>56</v>
      </c>
      <c r="B24" s="41" t="s">
        <v>113</v>
      </c>
      <c r="C24" s="23">
        <v>8360000</v>
      </c>
      <c r="D24" s="44"/>
      <c r="E24" s="45"/>
      <c r="F24" s="23">
        <f t="shared" si="3"/>
        <v>8360000</v>
      </c>
      <c r="G24" s="26"/>
      <c r="H24" s="31"/>
      <c r="I24" s="27">
        <f t="shared" si="4"/>
        <v>8360000</v>
      </c>
      <c r="J24" s="28" t="s">
        <v>15</v>
      </c>
    </row>
    <row r="25" spans="1:17" s="4" customFormat="1" ht="16.5" customHeight="1" x14ac:dyDescent="0.25">
      <c r="A25" s="21" t="s">
        <v>58</v>
      </c>
      <c r="B25" s="41" t="s">
        <v>114</v>
      </c>
      <c r="C25" s="23">
        <v>0</v>
      </c>
      <c r="D25" s="42">
        <v>2240000</v>
      </c>
      <c r="E25" s="36"/>
      <c r="F25" s="23">
        <f t="shared" si="3"/>
        <v>2240000</v>
      </c>
      <c r="G25" s="26"/>
      <c r="H25" s="31"/>
      <c r="I25" s="27">
        <f t="shared" si="4"/>
        <v>2240000</v>
      </c>
      <c r="J25" s="28" t="s">
        <v>15</v>
      </c>
      <c r="K25" s="3"/>
      <c r="L25" s="3"/>
      <c r="M25" s="3"/>
    </row>
    <row r="26" spans="1:17" s="4" customFormat="1" hidden="1" x14ac:dyDescent="0.25">
      <c r="A26" s="46" t="s">
        <v>64</v>
      </c>
      <c r="B26" s="41" t="s">
        <v>73</v>
      </c>
      <c r="C26" s="23">
        <v>0</v>
      </c>
      <c r="D26" s="42"/>
      <c r="E26" s="43"/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</row>
    <row r="27" spans="1:17" s="50" customFormat="1" ht="16.5" customHeight="1" x14ac:dyDescent="0.25">
      <c r="A27" s="47"/>
      <c r="B27" s="48" t="s">
        <v>101</v>
      </c>
      <c r="C27" s="33">
        <f>SUM(C28:C39)</f>
        <v>412347390</v>
      </c>
      <c r="D27" s="33">
        <f>SUM(D28:D37)</f>
        <v>155857000</v>
      </c>
      <c r="E27" s="33">
        <f>SUM(E28:E37)</f>
        <v>199293251</v>
      </c>
      <c r="F27" s="33">
        <f>SUM(F28:F39)</f>
        <v>368911139</v>
      </c>
      <c r="G27" s="33"/>
      <c r="H27" s="33"/>
      <c r="I27" s="33">
        <f>SUM(I28:I39)</f>
        <v>368911139</v>
      </c>
      <c r="J27" s="49"/>
      <c r="N27" s="56">
        <f>3000000+3186400+3468460+193000</f>
        <v>9847860</v>
      </c>
    </row>
    <row r="28" spans="1:17" s="55" customFormat="1" ht="16.5" customHeight="1" x14ac:dyDescent="0.25">
      <c r="A28" s="51" t="s">
        <v>60</v>
      </c>
      <c r="B28" s="52" t="s">
        <v>27</v>
      </c>
      <c r="C28" s="23">
        <v>0</v>
      </c>
      <c r="D28" s="53">
        <v>22500000</v>
      </c>
      <c r="E28" s="45"/>
      <c r="F28" s="23">
        <f>H28+I28</f>
        <v>22500000</v>
      </c>
      <c r="G28" s="26"/>
      <c r="H28" s="45"/>
      <c r="I28" s="54">
        <f>C28+D28-E28</f>
        <v>22500000</v>
      </c>
      <c r="J28" s="28" t="s">
        <v>15</v>
      </c>
      <c r="N28" s="105" t="s">
        <v>96</v>
      </c>
      <c r="O28" s="104">
        <v>328842</v>
      </c>
    </row>
    <row r="29" spans="1:17" s="55" customFormat="1" ht="16.5" customHeight="1" x14ac:dyDescent="0.25">
      <c r="A29" s="51" t="s">
        <v>62</v>
      </c>
      <c r="B29" s="52" t="s">
        <v>30</v>
      </c>
      <c r="C29" s="23">
        <v>100498022</v>
      </c>
      <c r="D29" s="53">
        <v>39984000</v>
      </c>
      <c r="E29" s="45">
        <v>68796000</v>
      </c>
      <c r="F29" s="23">
        <f t="shared" ref="F29:F39" si="5">H29+I29</f>
        <v>71686022</v>
      </c>
      <c r="G29" s="26"/>
      <c r="H29" s="45"/>
      <c r="I29" s="54">
        <f t="shared" ref="I29:I39" si="6">C29+D29-E29</f>
        <v>71686022</v>
      </c>
      <c r="J29" s="28" t="s">
        <v>15</v>
      </c>
      <c r="N29" s="56" t="s">
        <v>94</v>
      </c>
      <c r="O29" s="56">
        <f>O28*40%</f>
        <v>131536.80000000002</v>
      </c>
    </row>
    <row r="30" spans="1:17" s="55" customFormat="1" ht="16.5" customHeight="1" x14ac:dyDescent="0.25">
      <c r="A30" s="51" t="s">
        <v>64</v>
      </c>
      <c r="B30" s="52" t="s">
        <v>33</v>
      </c>
      <c r="C30" s="23">
        <v>21126668</v>
      </c>
      <c r="D30" s="53">
        <v>10478000</v>
      </c>
      <c r="E30" s="45">
        <v>17356500</v>
      </c>
      <c r="F30" s="23">
        <f t="shared" si="5"/>
        <v>14248168</v>
      </c>
      <c r="G30" s="26"/>
      <c r="H30" s="45"/>
      <c r="I30" s="54">
        <f t="shared" si="6"/>
        <v>14248168</v>
      </c>
      <c r="J30" s="28" t="s">
        <v>15</v>
      </c>
      <c r="N30" s="56" t="s">
        <v>95</v>
      </c>
      <c r="O30" s="56">
        <f>O28*60%</f>
        <v>197305.19999999998</v>
      </c>
    </row>
    <row r="31" spans="1:17" s="4" customFormat="1" ht="16.5" customHeight="1" x14ac:dyDescent="0.25">
      <c r="A31" s="51" t="s">
        <v>66</v>
      </c>
      <c r="B31" s="41" t="s">
        <v>36</v>
      </c>
      <c r="C31" s="23">
        <v>29463654</v>
      </c>
      <c r="D31" s="57">
        <v>26900000</v>
      </c>
      <c r="E31" s="36">
        <f>25743120</f>
        <v>25743120</v>
      </c>
      <c r="F31" s="23">
        <f t="shared" si="3"/>
        <v>30620534</v>
      </c>
      <c r="G31" s="26"/>
      <c r="H31" s="31"/>
      <c r="I31" s="54">
        <f t="shared" si="6"/>
        <v>30620534</v>
      </c>
      <c r="J31" s="28" t="s">
        <v>15</v>
      </c>
      <c r="N31" s="20"/>
      <c r="O31" s="20"/>
    </row>
    <row r="32" spans="1:17" s="4" customFormat="1" ht="16.5" customHeight="1" x14ac:dyDescent="0.25">
      <c r="A32" s="51" t="s">
        <v>68</v>
      </c>
      <c r="B32" s="41" t="s">
        <v>42</v>
      </c>
      <c r="C32" s="23">
        <v>21625874</v>
      </c>
      <c r="D32" s="57">
        <v>6260000</v>
      </c>
      <c r="E32" s="36"/>
      <c r="F32" s="23">
        <f t="shared" si="5"/>
        <v>27885874</v>
      </c>
      <c r="G32" s="26"/>
      <c r="H32" s="31"/>
      <c r="I32" s="54">
        <f t="shared" si="6"/>
        <v>27885874</v>
      </c>
      <c r="J32" s="28" t="s">
        <v>15</v>
      </c>
      <c r="N32" s="20"/>
      <c r="O32" s="20"/>
    </row>
    <row r="33" spans="1:23" s="4" customFormat="1" ht="16.5" customHeight="1" x14ac:dyDescent="0.25">
      <c r="A33" s="51" t="s">
        <v>70</v>
      </c>
      <c r="B33" s="41" t="s">
        <v>47</v>
      </c>
      <c r="C33" s="23">
        <v>91456448</v>
      </c>
      <c r="D33" s="57"/>
      <c r="E33" s="36">
        <f>9485000+18000000</f>
        <v>27485000</v>
      </c>
      <c r="F33" s="23">
        <f t="shared" si="5"/>
        <v>63971448</v>
      </c>
      <c r="G33" s="26"/>
      <c r="H33" s="31"/>
      <c r="I33" s="54">
        <f t="shared" si="6"/>
        <v>63971448</v>
      </c>
      <c r="J33" s="28" t="s">
        <v>15</v>
      </c>
      <c r="N33" s="20"/>
      <c r="O33" s="20"/>
    </row>
    <row r="34" spans="1:23" s="4" customFormat="1" ht="16.5" customHeight="1" x14ac:dyDescent="0.25">
      <c r="A34" s="51" t="s">
        <v>75</v>
      </c>
      <c r="B34" s="41" t="s">
        <v>49</v>
      </c>
      <c r="C34" s="23">
        <v>24029000</v>
      </c>
      <c r="D34" s="57">
        <v>8570000</v>
      </c>
      <c r="E34" s="36">
        <f>660000+6160000+3456000</f>
        <v>10276000</v>
      </c>
      <c r="F34" s="23">
        <f t="shared" si="5"/>
        <v>22323000</v>
      </c>
      <c r="G34" s="26"/>
      <c r="H34" s="31"/>
      <c r="I34" s="54">
        <f t="shared" si="6"/>
        <v>22323000</v>
      </c>
      <c r="J34" s="28" t="s">
        <v>15</v>
      </c>
      <c r="N34" s="20"/>
      <c r="O34" s="20"/>
    </row>
    <row r="35" spans="1:23" s="4" customFormat="1" ht="16.5" customHeight="1" x14ac:dyDescent="0.25">
      <c r="A35" s="51" t="s">
        <v>76</v>
      </c>
      <c r="B35" s="41" t="s">
        <v>51</v>
      </c>
      <c r="C35" s="23">
        <v>86738560</v>
      </c>
      <c r="D35" s="57">
        <v>26760000</v>
      </c>
      <c r="E35" s="36">
        <f>3133065+19710880</f>
        <v>22843945</v>
      </c>
      <c r="F35" s="23">
        <f>H35+I35</f>
        <v>90654615</v>
      </c>
      <c r="G35" s="26"/>
      <c r="H35" s="31"/>
      <c r="I35" s="54">
        <f>C35+D35-E35</f>
        <v>90654615</v>
      </c>
      <c r="J35" s="28" t="s">
        <v>15</v>
      </c>
      <c r="N35" s="20"/>
      <c r="O35" s="20"/>
    </row>
    <row r="36" spans="1:23" s="4" customFormat="1" ht="16.5" customHeight="1" x14ac:dyDescent="0.25">
      <c r="A36" s="51" t="s">
        <v>77</v>
      </c>
      <c r="B36" s="41" t="s">
        <v>53</v>
      </c>
      <c r="C36" s="23">
        <v>27623322</v>
      </c>
      <c r="D36" s="57">
        <v>9430000</v>
      </c>
      <c r="E36" s="36">
        <f>1374000+99355+3712000+14630231</f>
        <v>19815586</v>
      </c>
      <c r="F36" s="23">
        <f t="shared" si="5"/>
        <v>17237736</v>
      </c>
      <c r="G36" s="26"/>
      <c r="H36" s="31"/>
      <c r="I36" s="54">
        <f t="shared" si="6"/>
        <v>17237736</v>
      </c>
      <c r="J36" s="28" t="s">
        <v>15</v>
      </c>
      <c r="N36" s="20"/>
      <c r="O36" s="20"/>
    </row>
    <row r="37" spans="1:23" s="4" customFormat="1" ht="16.5" customHeight="1" x14ac:dyDescent="0.25">
      <c r="A37" s="51" t="s">
        <v>78</v>
      </c>
      <c r="B37" s="41" t="s">
        <v>57</v>
      </c>
      <c r="C37" s="23">
        <v>9457000</v>
      </c>
      <c r="D37" s="57">
        <v>4975000</v>
      </c>
      <c r="E37" s="36">
        <f>2777100+4200000</f>
        <v>6977100</v>
      </c>
      <c r="F37" s="23">
        <f t="shared" si="5"/>
        <v>7454900</v>
      </c>
      <c r="G37" s="26"/>
      <c r="H37" s="31"/>
      <c r="I37" s="54">
        <f t="shared" si="6"/>
        <v>7454900</v>
      </c>
      <c r="J37" s="28" t="s">
        <v>15</v>
      </c>
      <c r="N37" s="20"/>
      <c r="O37" s="20"/>
    </row>
    <row r="38" spans="1:23" s="4" customFormat="1" ht="16.5" customHeight="1" x14ac:dyDescent="0.25">
      <c r="A38" s="51" t="s">
        <v>97</v>
      </c>
      <c r="B38" s="41" t="s">
        <v>59</v>
      </c>
      <c r="C38" s="23">
        <v>197305</v>
      </c>
      <c r="D38" s="57"/>
      <c r="E38" s="36"/>
      <c r="F38" s="23">
        <f t="shared" si="5"/>
        <v>197305</v>
      </c>
      <c r="G38" s="26"/>
      <c r="H38" s="31"/>
      <c r="I38" s="54">
        <f t="shared" si="6"/>
        <v>197305</v>
      </c>
      <c r="J38" s="28" t="s">
        <v>15</v>
      </c>
      <c r="N38" s="108" t="s">
        <v>99</v>
      </c>
      <c r="O38" s="11">
        <f>F18+F38</f>
        <v>2682015</v>
      </c>
    </row>
    <row r="39" spans="1:23" s="4" customFormat="1" ht="16.5" customHeight="1" x14ac:dyDescent="0.25">
      <c r="A39" s="51" t="s">
        <v>98</v>
      </c>
      <c r="B39" s="41" t="s">
        <v>69</v>
      </c>
      <c r="C39" s="23">
        <v>131537</v>
      </c>
      <c r="D39" s="42"/>
      <c r="E39" s="43"/>
      <c r="F39" s="23">
        <f t="shared" si="5"/>
        <v>131537</v>
      </c>
      <c r="G39" s="26"/>
      <c r="H39" s="31"/>
      <c r="I39" s="54">
        <f t="shared" si="6"/>
        <v>131537</v>
      </c>
      <c r="J39" s="28" t="s">
        <v>15</v>
      </c>
      <c r="N39" s="108" t="s">
        <v>100</v>
      </c>
      <c r="O39" s="20">
        <f>F23+F39</f>
        <v>1004124</v>
      </c>
    </row>
    <row r="40" spans="1:23" s="4" customFormat="1" hidden="1" x14ac:dyDescent="0.25">
      <c r="A40" s="58"/>
      <c r="B40" s="32" t="s">
        <v>79</v>
      </c>
      <c r="C40" s="59">
        <v>0</v>
      </c>
      <c r="D40" s="59">
        <f t="shared" ref="D40:H40" si="7">D41</f>
        <v>0</v>
      </c>
      <c r="E40" s="59">
        <f t="shared" si="7"/>
        <v>0</v>
      </c>
      <c r="F40" s="59">
        <f>F41</f>
        <v>0</v>
      </c>
      <c r="G40" s="59">
        <f t="shared" si="7"/>
        <v>0</v>
      </c>
      <c r="H40" s="59">
        <f t="shared" si="7"/>
        <v>0</v>
      </c>
      <c r="I40" s="59">
        <f>I41</f>
        <v>0</v>
      </c>
      <c r="J40" s="60" t="s">
        <v>15</v>
      </c>
      <c r="K40" s="61"/>
      <c r="L40" s="61"/>
      <c r="M40" s="61"/>
    </row>
    <row r="41" spans="1:23" s="4" customFormat="1" hidden="1" x14ac:dyDescent="0.25">
      <c r="A41" s="46" t="s">
        <v>68</v>
      </c>
      <c r="B41" s="41" t="s">
        <v>80</v>
      </c>
      <c r="C41" s="62">
        <v>0</v>
      </c>
      <c r="D41" s="63"/>
      <c r="E41" s="45"/>
      <c r="F41" s="23">
        <f t="shared" si="3"/>
        <v>0</v>
      </c>
      <c r="G41" s="26"/>
      <c r="H41" s="31"/>
      <c r="I41" s="27">
        <f t="shared" si="4"/>
        <v>0</v>
      </c>
      <c r="J41" s="28" t="s">
        <v>15</v>
      </c>
      <c r="V41" s="64"/>
      <c r="W41" s="65"/>
    </row>
    <row r="42" spans="1:23" s="4" customFormat="1" hidden="1" x14ac:dyDescent="0.25">
      <c r="A42" s="46" t="s">
        <v>70</v>
      </c>
      <c r="B42" s="41"/>
      <c r="C42" s="62"/>
      <c r="D42" s="66"/>
      <c r="E42" s="45"/>
      <c r="F42" s="23"/>
      <c r="G42" s="26"/>
      <c r="H42" s="31"/>
      <c r="I42" s="27"/>
      <c r="J42" s="28"/>
      <c r="V42" s="67"/>
      <c r="W42" s="65"/>
    </row>
    <row r="43" spans="1:23" s="4" customFormat="1" hidden="1" x14ac:dyDescent="0.25">
      <c r="A43" s="46" t="s">
        <v>75</v>
      </c>
      <c r="B43" s="41" t="s">
        <v>81</v>
      </c>
      <c r="C43" s="23"/>
      <c r="D43" s="66"/>
      <c r="E43" s="68"/>
      <c r="F43" s="23">
        <f t="shared" si="3"/>
        <v>0</v>
      </c>
      <c r="G43" s="26"/>
      <c r="H43" s="31"/>
      <c r="I43" s="27">
        <f t="shared" si="4"/>
        <v>0</v>
      </c>
      <c r="J43" s="28" t="s">
        <v>82</v>
      </c>
      <c r="K43" s="69"/>
      <c r="L43" s="69"/>
      <c r="M43" s="69"/>
      <c r="N43" s="69"/>
      <c r="O43" s="69"/>
      <c r="V43" s="70"/>
      <c r="W43" s="65"/>
    </row>
    <row r="44" spans="1:23" s="4" customFormat="1" ht="16.5" customHeight="1" x14ac:dyDescent="0.25">
      <c r="A44" s="32"/>
      <c r="B44" s="48" t="s">
        <v>83</v>
      </c>
      <c r="C44" s="33">
        <f>(C6+C11+C27+C40+C43)</f>
        <v>1710844697</v>
      </c>
      <c r="D44" s="33">
        <f>(D6+D11+D27+D40+D43)</f>
        <v>9860220594</v>
      </c>
      <c r="E44" s="33">
        <f>(E6+E11+E27+E40+E43)</f>
        <v>1550547102</v>
      </c>
      <c r="F44" s="33">
        <f>(F6+F11+F27+F40+F43)</f>
        <v>10020518189</v>
      </c>
      <c r="G44" s="33"/>
      <c r="H44" s="33"/>
      <c r="I44" s="33">
        <f>(I6+I11+I27+I40+I43)</f>
        <v>10020518189</v>
      </c>
      <c r="J44" s="33"/>
      <c r="K44" s="3"/>
      <c r="L44" s="3"/>
      <c r="M44" s="3"/>
      <c r="N44" s="10"/>
      <c r="O44" s="3"/>
      <c r="V44" s="3"/>
      <c r="W44" s="71"/>
    </row>
    <row r="45" spans="1:23" s="4" customFormat="1" x14ac:dyDescent="0.25">
      <c r="A45" s="72"/>
      <c r="B45" s="73"/>
      <c r="C45" s="74"/>
      <c r="D45" s="74"/>
      <c r="E45" s="74"/>
      <c r="F45" s="74"/>
      <c r="G45" s="74"/>
      <c r="H45" s="74"/>
      <c r="I45" s="74"/>
      <c r="J45" s="74"/>
      <c r="K45" s="3"/>
      <c r="L45" s="3"/>
      <c r="M45" s="3"/>
      <c r="N45" s="3"/>
      <c r="O45" s="3"/>
      <c r="V45" s="3"/>
      <c r="W45" s="71"/>
    </row>
    <row r="46" spans="1:23" s="4" customFormat="1" x14ac:dyDescent="0.25">
      <c r="A46" s="107"/>
      <c r="B46" s="75"/>
      <c r="C46" s="75"/>
      <c r="D46" s="10"/>
      <c r="E46" s="10"/>
      <c r="F46" s="3"/>
      <c r="G46" s="3"/>
      <c r="H46" s="124" t="s">
        <v>93</v>
      </c>
      <c r="I46" s="124"/>
      <c r="J46" s="124"/>
      <c r="K46" s="3"/>
      <c r="L46" s="40" t="e">
        <f>#REF!-#REF!</f>
        <v>#REF!</v>
      </c>
      <c r="M46" s="3"/>
      <c r="N46" s="3"/>
      <c r="O46" s="3"/>
      <c r="V46" s="76"/>
      <c r="W46" s="77"/>
    </row>
    <row r="47" spans="1:23" s="4" customFormat="1" x14ac:dyDescent="0.25">
      <c r="A47" s="107"/>
      <c r="B47" s="107" t="s">
        <v>84</v>
      </c>
      <c r="C47" s="69"/>
      <c r="D47" s="106" t="s">
        <v>85</v>
      </c>
      <c r="E47" s="69"/>
      <c r="F47" s="107" t="s">
        <v>86</v>
      </c>
      <c r="G47" s="3"/>
      <c r="H47" s="125" t="s">
        <v>87</v>
      </c>
      <c r="I47" s="125"/>
      <c r="J47" s="125"/>
      <c r="K47" s="3"/>
      <c r="L47" s="3"/>
      <c r="M47" s="3"/>
      <c r="N47" s="3"/>
      <c r="O47" s="3"/>
      <c r="V47" s="76"/>
      <c r="W47" s="77"/>
    </row>
    <row r="48" spans="1:23" s="4" customFormat="1" x14ac:dyDescent="0.25">
      <c r="A48" s="3"/>
      <c r="B48" s="3"/>
      <c r="C48" s="3"/>
      <c r="D48" s="3"/>
      <c r="E48" s="3"/>
      <c r="F48" s="75"/>
      <c r="G48" s="10"/>
      <c r="H48" s="3"/>
      <c r="I48" s="3"/>
      <c r="J48" s="3"/>
      <c r="K48" s="3"/>
      <c r="L48" s="40"/>
      <c r="M48" s="3"/>
      <c r="N48" s="3"/>
      <c r="O48" s="3"/>
      <c r="V48" s="70"/>
      <c r="W48" s="79"/>
    </row>
    <row r="49" spans="1:23" s="4" customFormat="1" x14ac:dyDescent="0.25">
      <c r="A49" s="3"/>
      <c r="B49" s="3"/>
      <c r="C49" s="3"/>
      <c r="D49" s="3"/>
      <c r="E49" s="10"/>
      <c r="F49" s="75"/>
      <c r="G49" s="3"/>
      <c r="H49" s="3"/>
      <c r="I49" s="3"/>
      <c r="J49" s="3"/>
      <c r="K49" s="3"/>
      <c r="L49" s="40"/>
      <c r="M49" s="3"/>
      <c r="N49" s="3"/>
      <c r="O49" s="3"/>
      <c r="Q49" s="11"/>
      <c r="V49" s="70"/>
      <c r="W49" s="79"/>
    </row>
    <row r="50" spans="1:23" s="4" customFormat="1" x14ac:dyDescent="0.25">
      <c r="A50" s="3"/>
      <c r="B50" s="3"/>
      <c r="C50" s="3"/>
      <c r="D50" s="3"/>
      <c r="E50" s="3"/>
      <c r="F50" s="75"/>
      <c r="G50" s="10"/>
      <c r="H50" s="3"/>
      <c r="I50" s="3"/>
      <c r="J50" s="3"/>
      <c r="K50" s="3"/>
      <c r="L50" s="40"/>
      <c r="M50" s="3"/>
      <c r="N50" s="3"/>
      <c r="O50" s="3"/>
      <c r="V50" s="70"/>
      <c r="W50" s="79"/>
    </row>
    <row r="51" spans="1:23" s="4" customFormat="1" x14ac:dyDescent="0.25">
      <c r="A51" s="3"/>
      <c r="B51" s="107" t="s">
        <v>88</v>
      </c>
      <c r="C51" s="3"/>
      <c r="D51" s="107" t="s">
        <v>89</v>
      </c>
      <c r="E51" s="3"/>
      <c r="F51" s="107" t="s">
        <v>90</v>
      </c>
      <c r="G51" s="69"/>
      <c r="H51" s="126" t="s">
        <v>91</v>
      </c>
      <c r="I51" s="126"/>
      <c r="J51" s="126"/>
      <c r="K51" s="3"/>
      <c r="L51" s="3"/>
      <c r="M51" s="3"/>
      <c r="N51" s="3"/>
      <c r="O51" s="3"/>
      <c r="V51" s="70"/>
      <c r="W51" s="79"/>
    </row>
    <row r="52" spans="1:23" x14ac:dyDescent="0.25">
      <c r="A52" s="80"/>
      <c r="B52" s="81"/>
      <c r="C52" s="80"/>
      <c r="D52" s="80"/>
      <c r="E52" s="80"/>
      <c r="F52" s="82"/>
      <c r="G52" s="83"/>
      <c r="H52" s="84"/>
      <c r="I52" s="84"/>
      <c r="J52" s="84"/>
      <c r="K52" s="80"/>
      <c r="L52" s="80"/>
      <c r="M52" s="80"/>
      <c r="N52" s="80"/>
      <c r="O52" s="80"/>
      <c r="V52" s="3"/>
      <c r="W52" s="85"/>
    </row>
    <row r="53" spans="1:23" ht="17.25" x14ac:dyDescent="0.3">
      <c r="A53" s="80"/>
      <c r="F53" s="86"/>
      <c r="G53" s="80"/>
      <c r="H53" s="80"/>
      <c r="I53" s="87"/>
      <c r="J53" s="80"/>
      <c r="K53" s="80"/>
      <c r="L53" s="80"/>
      <c r="M53" s="80"/>
      <c r="N53" s="80"/>
      <c r="O53" s="80"/>
      <c r="V53" s="88"/>
      <c r="W53" s="89"/>
    </row>
    <row r="54" spans="1:23" ht="17.25" x14ac:dyDescent="0.3">
      <c r="V54" s="90"/>
      <c r="W54" s="89"/>
    </row>
    <row r="55" spans="1:23" ht="17.25" x14ac:dyDescent="0.25">
      <c r="A55" s="80"/>
      <c r="F55" s="80"/>
      <c r="G55" s="80"/>
      <c r="H55" s="80"/>
      <c r="I55" s="87"/>
      <c r="J55" s="80"/>
      <c r="K55" s="80"/>
      <c r="L55" s="80"/>
      <c r="M55" s="80"/>
      <c r="N55" s="80"/>
      <c r="O55" s="80"/>
      <c r="V55" s="91"/>
      <c r="W55" s="92"/>
    </row>
    <row r="56" spans="1:23" ht="17.25" x14ac:dyDescent="0.25">
      <c r="A56" s="80"/>
      <c r="F56" s="80"/>
      <c r="G56" s="80"/>
      <c r="H56" s="80"/>
      <c r="I56" s="87"/>
      <c r="J56" s="80"/>
      <c r="K56" s="80"/>
      <c r="L56" s="80"/>
      <c r="M56" s="80"/>
      <c r="N56" s="80"/>
      <c r="O56" s="80"/>
      <c r="V56" s="93"/>
      <c r="W56" s="94"/>
    </row>
    <row r="57" spans="1:23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5"/>
      <c r="W57" s="95"/>
    </row>
    <row r="58" spans="1:23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5"/>
      <c r="W58" s="95"/>
    </row>
    <row r="59" spans="1:23" ht="15.75" x14ac:dyDescent="0.3">
      <c r="A59" s="96"/>
      <c r="F59" s="96"/>
      <c r="G59" s="96"/>
      <c r="H59" s="96"/>
      <c r="I59" s="97"/>
      <c r="J59" s="96"/>
      <c r="V59" s="95"/>
      <c r="W59" s="95"/>
    </row>
    <row r="60" spans="1:23" ht="15.75" x14ac:dyDescent="0.3">
      <c r="A60" s="96"/>
      <c r="F60" s="96"/>
      <c r="G60" s="96"/>
      <c r="H60" s="96"/>
      <c r="I60" s="96"/>
      <c r="J60" s="96"/>
      <c r="V60" s="95"/>
      <c r="W60" s="95"/>
    </row>
    <row r="61" spans="1:23" ht="15.75" x14ac:dyDescent="0.3">
      <c r="A61" s="96"/>
      <c r="F61" s="98"/>
      <c r="G61" s="98"/>
      <c r="H61" s="96"/>
      <c r="I61" s="96"/>
      <c r="J61" s="96"/>
      <c r="V61" s="95"/>
      <c r="W61" s="95"/>
    </row>
    <row r="62" spans="1:23" ht="15.75" x14ac:dyDescent="0.3">
      <c r="A62" s="96"/>
      <c r="F62" s="98"/>
      <c r="G62" s="98"/>
      <c r="H62" s="96"/>
      <c r="I62" s="96"/>
      <c r="J62" s="96"/>
      <c r="V62" s="95"/>
      <c r="W62" s="95"/>
    </row>
    <row r="63" spans="1:23" ht="15.75" x14ac:dyDescent="0.3">
      <c r="A63" s="96"/>
      <c r="F63" s="96"/>
      <c r="G63" s="96"/>
      <c r="H63" s="96"/>
      <c r="I63" s="96"/>
      <c r="J63" s="96"/>
      <c r="V63" s="95"/>
      <c r="W63" s="95"/>
    </row>
    <row r="64" spans="1:23" ht="15.75" x14ac:dyDescent="0.3">
      <c r="A64" s="96"/>
      <c r="F64" s="96"/>
      <c r="G64" s="96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7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8"/>
      <c r="I68" s="96"/>
      <c r="J68" s="96"/>
      <c r="V68" s="95"/>
      <c r="W68" s="95"/>
    </row>
    <row r="69" spans="1:23" ht="15.75" x14ac:dyDescent="0.3">
      <c r="A69" s="96"/>
      <c r="F69" s="99"/>
      <c r="G69" s="99"/>
      <c r="H69" s="96"/>
      <c r="I69" s="96"/>
      <c r="J69" s="96"/>
      <c r="V69" s="95"/>
      <c r="W69" s="95"/>
    </row>
    <row r="70" spans="1:23" ht="15.75" x14ac:dyDescent="0.3">
      <c r="A70" s="96"/>
      <c r="F70" s="96"/>
      <c r="G70" s="96"/>
      <c r="H70" s="96"/>
      <c r="I70" s="96"/>
      <c r="J70" s="96"/>
      <c r="V70" s="95"/>
      <c r="W70" s="95"/>
    </row>
    <row r="71" spans="1:23" ht="15.75" x14ac:dyDescent="0.3">
      <c r="A71" s="96"/>
      <c r="F71" s="96"/>
      <c r="G71" s="96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</row>
    <row r="79" spans="1:23" ht="15.75" customHeight="1" x14ac:dyDescent="0.35">
      <c r="A79" s="100"/>
      <c r="F79" s="101"/>
      <c r="G79" s="101"/>
      <c r="H79" s="100"/>
      <c r="I79" s="100"/>
      <c r="J79" s="100"/>
      <c r="K79" s="100"/>
      <c r="L79" s="100"/>
      <c r="M79" s="100"/>
      <c r="N79" s="100"/>
      <c r="O79" s="100"/>
    </row>
    <row r="81" spans="3:5" x14ac:dyDescent="0.25">
      <c r="C81" s="102"/>
      <c r="D81" s="102"/>
      <c r="E81" s="103"/>
    </row>
    <row r="82" spans="3:5" x14ac:dyDescent="0.25">
      <c r="C82" s="102"/>
      <c r="D82" s="102"/>
    </row>
    <row r="83" spans="3:5" x14ac:dyDescent="0.25">
      <c r="C83" s="102"/>
      <c r="D83" s="102"/>
    </row>
    <row r="84" spans="3:5" x14ac:dyDescent="0.25">
      <c r="C84" s="102"/>
      <c r="D84" s="102"/>
    </row>
    <row r="85" spans="3:5" x14ac:dyDescent="0.25">
      <c r="C85" s="102"/>
      <c r="D85" s="102"/>
    </row>
    <row r="86" spans="3:5" x14ac:dyDescent="0.25">
      <c r="C86" s="102"/>
      <c r="D86" s="102"/>
    </row>
    <row r="87" spans="3:5" x14ac:dyDescent="0.25">
      <c r="C87" s="102"/>
      <c r="D87" s="102"/>
    </row>
    <row r="88" spans="3:5" x14ac:dyDescent="0.25">
      <c r="C88" s="102"/>
      <c r="D88" s="102"/>
    </row>
    <row r="89" spans="3:5" x14ac:dyDescent="0.25">
      <c r="C89" s="102"/>
      <c r="D89" s="102"/>
    </row>
    <row r="90" spans="3:5" x14ac:dyDescent="0.25">
      <c r="C90" s="102"/>
      <c r="D90" s="102"/>
    </row>
    <row r="91" spans="3:5" x14ac:dyDescent="0.25">
      <c r="C91" s="102"/>
      <c r="D91" s="102"/>
    </row>
    <row r="92" spans="3:5" x14ac:dyDescent="0.25">
      <c r="C92" s="102"/>
      <c r="D92" s="102"/>
    </row>
    <row r="93" spans="3:5" x14ac:dyDescent="0.25">
      <c r="C93" s="102"/>
      <c r="D93" s="102"/>
    </row>
    <row r="94" spans="3:5" x14ac:dyDescent="0.25">
      <c r="C94" s="102"/>
      <c r="D94" s="102"/>
    </row>
    <row r="95" spans="3:5" x14ac:dyDescent="0.25">
      <c r="C95" s="102"/>
      <c r="D95" s="102"/>
    </row>
    <row r="96" spans="3: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</sheetData>
  <mergeCells count="13">
    <mergeCell ref="H46:J46"/>
    <mergeCell ref="H47:J47"/>
    <mergeCell ref="H51:J51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45" right="0.45" top="0.5" bottom="0.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opLeftCell="A16" workbookViewId="0">
      <selection activeCell="E29" sqref="E29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8.140625" customWidth="1"/>
    <col min="6" max="6" width="14.42578125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104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110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8802357877</v>
      </c>
      <c r="D6" s="16">
        <f t="shared" ref="D6:H6" si="0">SUM(D7:D10)</f>
        <v>330000</v>
      </c>
      <c r="E6" s="16">
        <f>SUM(E7:E10)</f>
        <v>419419907</v>
      </c>
      <c r="F6" s="16">
        <f>SUM(F7:F9)</f>
        <v>8383267970</v>
      </c>
      <c r="G6" s="16">
        <f t="shared" si="0"/>
        <v>0</v>
      </c>
      <c r="H6" s="16">
        <f t="shared" si="0"/>
        <v>0</v>
      </c>
      <c r="I6" s="16">
        <f>SUM(I7:I9)</f>
        <v>8383267970</v>
      </c>
      <c r="J6" s="17" t="s">
        <v>15</v>
      </c>
      <c r="K6" s="18"/>
      <c r="L6" s="19"/>
      <c r="M6" s="19"/>
      <c r="N6" s="10">
        <f>F7+F9</f>
        <v>5243183075</v>
      </c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5562272982</v>
      </c>
      <c r="D7" s="27">
        <v>330000</v>
      </c>
      <c r="E7" s="25">
        <f>321682670+4840000+2200000+495000+82355047+5147190+2700000</f>
        <v>419419907</v>
      </c>
      <c r="F7" s="23">
        <f>H7+I7</f>
        <v>5143183075</v>
      </c>
      <c r="G7" s="26"/>
      <c r="H7" s="27"/>
      <c r="I7" s="27">
        <f>C7+D7-E7+G7</f>
        <v>5143183075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3140084895</v>
      </c>
      <c r="D8" s="27"/>
      <c r="E8" s="25"/>
      <c r="F8" s="23">
        <f t="shared" ref="F8" si="1">H8+I8</f>
        <v>3140084895</v>
      </c>
      <c r="G8" s="26"/>
      <c r="H8" s="27"/>
      <c r="I8" s="27">
        <f>C8+D8-E8+G8</f>
        <v>3140084895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100000000</v>
      </c>
      <c r="D9" s="27"/>
      <c r="E9" s="25"/>
      <c r="F9" s="23">
        <f>H9+I9</f>
        <v>100000000</v>
      </c>
      <c r="G9" s="26"/>
      <c r="H9" s="27"/>
      <c r="I9" s="27">
        <f>C9+D9-E9+G9</f>
        <v>100000000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102</v>
      </c>
      <c r="C11" s="16">
        <f t="shared" ref="C11:I11" si="2">SUM(C12:C27)</f>
        <v>849249173</v>
      </c>
      <c r="D11" s="16">
        <f t="shared" si="2"/>
        <v>1129435500</v>
      </c>
      <c r="E11" s="33">
        <f t="shared" si="2"/>
        <v>634599609</v>
      </c>
      <c r="F11" s="16">
        <f t="shared" si="2"/>
        <v>1344085064</v>
      </c>
      <c r="G11" s="16">
        <f t="shared" si="2"/>
        <v>0</v>
      </c>
      <c r="H11" s="16">
        <f t="shared" si="2"/>
        <v>0</v>
      </c>
      <c r="I11" s="16">
        <f t="shared" si="2"/>
        <v>1344085064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53800000</v>
      </c>
      <c r="D12" s="36">
        <v>56320000</v>
      </c>
      <c r="E12" s="36">
        <v>53800000</v>
      </c>
      <c r="F12" s="23">
        <f t="shared" ref="F12:F45" si="3">H12+I12</f>
        <v>56320000</v>
      </c>
      <c r="G12" s="26"/>
      <c r="H12" s="31"/>
      <c r="I12" s="27">
        <f t="shared" ref="I12:I45" si="4">C12+D12-E12</f>
        <v>56320000</v>
      </c>
      <c r="J12" s="28" t="s">
        <v>15</v>
      </c>
      <c r="K12" s="10"/>
      <c r="L12" s="40"/>
      <c r="M12" s="40"/>
      <c r="N12" s="10">
        <f>D12+D13+D14+D15+D16+D17+D18+D24+D25+D26+D27</f>
        <v>1129435500</v>
      </c>
      <c r="O12" s="10">
        <f>E12+E13+E14+E15+E16+E17+E18+E24+E25+E26+E27</f>
        <v>632599609</v>
      </c>
      <c r="P12" s="37" t="s">
        <v>28</v>
      </c>
      <c r="Q12" s="10">
        <f>F12+F13+F14+F15+F16+F17+F18+F24+F25+F26</f>
        <v>1279889370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135251772</v>
      </c>
      <c r="D13" s="36"/>
      <c r="E13" s="36">
        <f>93873+917485+15572751</f>
        <v>16584109</v>
      </c>
      <c r="F13" s="23">
        <f t="shared" si="3"/>
        <v>118667663</v>
      </c>
      <c r="G13" s="26"/>
      <c r="H13" s="31"/>
      <c r="I13" s="27">
        <f t="shared" si="4"/>
        <v>118667663</v>
      </c>
      <c r="J13" s="28" t="s">
        <v>15</v>
      </c>
      <c r="K13" s="3"/>
      <c r="L13" s="40">
        <f>SUM(D11:D45)</f>
        <v>2774584000</v>
      </c>
      <c r="M13" s="40">
        <f>SUM(E11:E45)</f>
        <v>1553638598</v>
      </c>
      <c r="N13" s="10">
        <f>D19</f>
        <v>0</v>
      </c>
      <c r="O13" s="10">
        <f>E19</f>
        <v>0</v>
      </c>
      <c r="P13" s="37" t="s">
        <v>31</v>
      </c>
      <c r="Q13" s="39">
        <f>F19</f>
        <v>2484710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424395700</v>
      </c>
      <c r="D14" s="36">
        <v>704004000</v>
      </c>
      <c r="E14" s="36">
        <f>392672500+7128000</f>
        <v>399800500</v>
      </c>
      <c r="F14" s="23">
        <f t="shared" si="3"/>
        <v>728599200</v>
      </c>
      <c r="G14" s="26"/>
      <c r="H14" s="31"/>
      <c r="I14" s="27">
        <f t="shared" si="4"/>
        <v>728599200</v>
      </c>
      <c r="J14" s="28" t="s">
        <v>15</v>
      </c>
      <c r="K14" s="3"/>
      <c r="L14" s="40"/>
      <c r="M14" s="3"/>
      <c r="N14" s="10">
        <f>D23</f>
        <v>0</v>
      </c>
      <c r="O14" s="10">
        <f>E23</f>
        <v>0</v>
      </c>
      <c r="P14" s="37" t="s">
        <v>34</v>
      </c>
      <c r="Q14" s="39">
        <f>F23</f>
        <v>0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107040000</v>
      </c>
      <c r="D15" s="36">
        <v>217360000</v>
      </c>
      <c r="E15" s="36">
        <v>107040000</v>
      </c>
      <c r="F15" s="23">
        <f>H15+I15</f>
        <v>217360000</v>
      </c>
      <c r="G15" s="26"/>
      <c r="H15" s="31"/>
      <c r="I15" s="27">
        <f t="shared" si="4"/>
        <v>217360000</v>
      </c>
      <c r="J15" s="28" t="s">
        <v>15</v>
      </c>
      <c r="K15" s="3"/>
      <c r="L15" s="3"/>
      <c r="M15" s="3"/>
      <c r="N15" s="10">
        <f>D21</f>
        <v>0</v>
      </c>
      <c r="O15" s="10">
        <f>E21</f>
        <v>0</v>
      </c>
      <c r="P15" s="37" t="s">
        <v>37</v>
      </c>
      <c r="Q15" s="39">
        <f>F21</f>
        <v>23585182</v>
      </c>
    </row>
    <row r="16" spans="1:31" s="4" customFormat="1" ht="16.5" customHeight="1" x14ac:dyDescent="0.25">
      <c r="A16" s="21" t="s">
        <v>38</v>
      </c>
      <c r="B16" s="41" t="s">
        <v>55</v>
      </c>
      <c r="C16" s="23">
        <v>6318420</v>
      </c>
      <c r="D16" s="36">
        <v>16000</v>
      </c>
      <c r="E16" s="36"/>
      <c r="F16" s="23">
        <f t="shared" si="3"/>
        <v>6334420</v>
      </c>
      <c r="G16" s="26"/>
      <c r="H16" s="31"/>
      <c r="I16" s="27">
        <f t="shared" si="4"/>
        <v>6334420</v>
      </c>
      <c r="J16" s="28" t="s">
        <v>15</v>
      </c>
      <c r="K16" s="3"/>
      <c r="L16" s="3"/>
      <c r="M16" s="3"/>
      <c r="N16" s="10">
        <f>D20</f>
        <v>0</v>
      </c>
      <c r="O16" s="10">
        <f>E20</f>
        <v>2000000</v>
      </c>
      <c r="P16" s="37" t="s">
        <v>40</v>
      </c>
      <c r="Q16" s="39">
        <f>F20</f>
        <v>38098686</v>
      </c>
    </row>
    <row r="17" spans="1:17" s="4" customFormat="1" ht="16.5" customHeight="1" x14ac:dyDescent="0.25">
      <c r="A17" s="21" t="s">
        <v>41</v>
      </c>
      <c r="B17" s="41" t="s">
        <v>57</v>
      </c>
      <c r="C17" s="23">
        <v>44775000</v>
      </c>
      <c r="D17" s="36">
        <v>94815000</v>
      </c>
      <c r="E17" s="36">
        <v>44775000</v>
      </c>
      <c r="F17" s="23">
        <f t="shared" si="3"/>
        <v>94815000</v>
      </c>
      <c r="G17" s="26"/>
      <c r="H17" s="31"/>
      <c r="I17" s="27">
        <f t="shared" si="4"/>
        <v>94815000</v>
      </c>
      <c r="J17" s="28" t="s">
        <v>15</v>
      </c>
      <c r="K17" s="3"/>
      <c r="L17" s="3"/>
      <c r="M17" s="3"/>
      <c r="N17" s="10">
        <f>D22</f>
        <v>0</v>
      </c>
      <c r="O17" s="10">
        <f>E22</f>
        <v>0</v>
      </c>
      <c r="P17" s="37" t="s">
        <v>43</v>
      </c>
      <c r="Q17" s="39">
        <f>F22</f>
        <v>27116</v>
      </c>
    </row>
    <row r="18" spans="1:17" s="4" customFormat="1" ht="16.5" customHeight="1" x14ac:dyDescent="0.25">
      <c r="A18" s="21" t="s">
        <v>44</v>
      </c>
      <c r="B18" s="41" t="s">
        <v>105</v>
      </c>
      <c r="C18" s="23"/>
      <c r="D18" s="36">
        <v>56920500</v>
      </c>
      <c r="E18" s="36"/>
      <c r="F18" s="23">
        <f t="shared" si="3"/>
        <v>56920500</v>
      </c>
      <c r="G18" s="26"/>
      <c r="H18" s="31"/>
      <c r="I18" s="27">
        <f t="shared" ref="I18" si="5">C18+D18-E18</f>
        <v>56920500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59</v>
      </c>
      <c r="C19" s="23">
        <v>2484710</v>
      </c>
      <c r="D19" s="42"/>
      <c r="E19" s="36"/>
      <c r="F19" s="23">
        <f t="shared" si="3"/>
        <v>2484710</v>
      </c>
      <c r="G19" s="26"/>
      <c r="H19" s="31"/>
      <c r="I19" s="27">
        <f t="shared" si="4"/>
        <v>2484710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61</v>
      </c>
      <c r="C20" s="23">
        <v>40098686</v>
      </c>
      <c r="D20" s="43"/>
      <c r="E20" s="36">
        <f>2000000</f>
        <v>2000000</v>
      </c>
      <c r="F20" s="23">
        <f>H20+I20</f>
        <v>38098686</v>
      </c>
      <c r="G20" s="26"/>
      <c r="H20" s="31"/>
      <c r="I20" s="27">
        <f>C20+D20-E20</f>
        <v>38098686</v>
      </c>
      <c r="J20" s="28" t="s">
        <v>15</v>
      </c>
      <c r="K20" s="3"/>
      <c r="L20" s="3"/>
      <c r="M20" s="3"/>
      <c r="N20" s="2">
        <f>SUM(D29:D38)</f>
        <v>251532000</v>
      </c>
      <c r="O20" s="40">
        <f>SUM(E29:E38)</f>
        <v>142219690</v>
      </c>
      <c r="P20" s="37" t="s">
        <v>28</v>
      </c>
      <c r="Q20" s="39">
        <f>SUM(F29:F38)</f>
        <v>477894607</v>
      </c>
    </row>
    <row r="21" spans="1:17" s="4" customFormat="1" ht="16.5" customHeight="1" x14ac:dyDescent="0.25">
      <c r="A21" s="21" t="s">
        <v>50</v>
      </c>
      <c r="B21" s="41" t="s">
        <v>63</v>
      </c>
      <c r="C21" s="23">
        <v>23585182</v>
      </c>
      <c r="D21" s="42"/>
      <c r="E21" s="36"/>
      <c r="F21" s="23">
        <f t="shared" si="3"/>
        <v>23585182</v>
      </c>
      <c r="G21" s="26"/>
      <c r="H21" s="31"/>
      <c r="I21" s="27">
        <f t="shared" si="4"/>
        <v>23585182</v>
      </c>
      <c r="J21" s="28" t="s">
        <v>15</v>
      </c>
      <c r="K21" s="3"/>
      <c r="L21" s="3"/>
      <c r="M21" s="3"/>
    </row>
    <row r="22" spans="1:17" s="4" customFormat="1" ht="16.5" customHeight="1" x14ac:dyDescent="0.25">
      <c r="A22" s="21" t="s">
        <v>52</v>
      </c>
      <c r="B22" s="41" t="s">
        <v>65</v>
      </c>
      <c r="C22" s="23">
        <v>27116</v>
      </c>
      <c r="D22" s="42"/>
      <c r="E22" s="43"/>
      <c r="F22" s="23">
        <f t="shared" si="3"/>
        <v>27116</v>
      </c>
      <c r="G22" s="26"/>
      <c r="H22" s="31"/>
      <c r="I22" s="27">
        <f t="shared" si="4"/>
        <v>27116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67</v>
      </c>
      <c r="C23" s="23">
        <v>0</v>
      </c>
      <c r="D23" s="42"/>
      <c r="E23" s="43"/>
      <c r="F23" s="23">
        <f t="shared" si="3"/>
        <v>0</v>
      </c>
      <c r="G23" s="26"/>
      <c r="H23" s="31"/>
      <c r="I23" s="27">
        <f t="shared" si="4"/>
        <v>0</v>
      </c>
      <c r="J23" s="28" t="s">
        <v>15</v>
      </c>
      <c r="K23" s="3"/>
      <c r="L23" s="3"/>
      <c r="M23" s="3"/>
    </row>
    <row r="24" spans="1:17" s="4" customFormat="1" ht="16.5" customHeight="1" x14ac:dyDescent="0.25">
      <c r="A24" s="21" t="s">
        <v>56</v>
      </c>
      <c r="B24" s="41" t="s">
        <v>69</v>
      </c>
      <c r="C24" s="23">
        <v>872587</v>
      </c>
      <c r="D24" s="44"/>
      <c r="E24" s="45"/>
      <c r="F24" s="23">
        <f>H24+I24</f>
        <v>872587</v>
      </c>
      <c r="G24" s="26"/>
      <c r="H24" s="31"/>
      <c r="I24" s="27">
        <f t="shared" si="4"/>
        <v>872587</v>
      </c>
      <c r="J24" s="28" t="s">
        <v>15</v>
      </c>
    </row>
    <row r="25" spans="1:17" s="4" customFormat="1" ht="16.5" customHeight="1" x14ac:dyDescent="0.25">
      <c r="A25" s="21" t="s">
        <v>58</v>
      </c>
      <c r="B25" s="41" t="s">
        <v>113</v>
      </c>
      <c r="C25" s="23">
        <v>8360000</v>
      </c>
      <c r="D25" s="44"/>
      <c r="E25" s="45">
        <v>8360000</v>
      </c>
      <c r="F25" s="23">
        <f t="shared" si="3"/>
        <v>0</v>
      </c>
      <c r="G25" s="26"/>
      <c r="H25" s="31"/>
      <c r="I25" s="27">
        <f t="shared" si="4"/>
        <v>0</v>
      </c>
      <c r="J25" s="28" t="s">
        <v>15</v>
      </c>
    </row>
    <row r="26" spans="1:17" s="4" customFormat="1" ht="16.5" customHeight="1" x14ac:dyDescent="0.25">
      <c r="A26" s="21" t="s">
        <v>60</v>
      </c>
      <c r="B26" s="41" t="s">
        <v>114</v>
      </c>
      <c r="C26" s="23">
        <v>2240000</v>
      </c>
      <c r="D26" s="42"/>
      <c r="E26" s="36">
        <v>2240000</v>
      </c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  <c r="K26" s="3"/>
      <c r="L26" s="3"/>
      <c r="M26" s="3"/>
    </row>
    <row r="27" spans="1:17" s="4" customFormat="1" hidden="1" x14ac:dyDescent="0.25">
      <c r="A27" s="46" t="s">
        <v>64</v>
      </c>
      <c r="B27" s="41" t="s">
        <v>73</v>
      </c>
      <c r="C27" s="23">
        <v>0</v>
      </c>
      <c r="D27" s="42"/>
      <c r="E27" s="43"/>
      <c r="F27" s="23">
        <f t="shared" si="3"/>
        <v>0</v>
      </c>
      <c r="G27" s="26"/>
      <c r="H27" s="31"/>
      <c r="I27" s="27">
        <f t="shared" si="4"/>
        <v>0</v>
      </c>
      <c r="J27" s="28" t="s">
        <v>15</v>
      </c>
    </row>
    <row r="28" spans="1:17" s="50" customFormat="1" ht="16.5" customHeight="1" x14ac:dyDescent="0.25">
      <c r="A28" s="47"/>
      <c r="B28" s="48" t="s">
        <v>101</v>
      </c>
      <c r="C28" s="33">
        <f>SUM(C29:C41)</f>
        <v>368911139</v>
      </c>
      <c r="D28" s="33">
        <f>SUM(D29:D41)</f>
        <v>257856500</v>
      </c>
      <c r="E28" s="33">
        <f>SUM(E29:E41)</f>
        <v>142219690</v>
      </c>
      <c r="F28" s="33">
        <f>SUM(F29:F41)</f>
        <v>484547949</v>
      </c>
      <c r="G28" s="33"/>
      <c r="H28" s="33"/>
      <c r="I28" s="33">
        <f>SUM(I29:I41)</f>
        <v>484547949</v>
      </c>
      <c r="J28" s="49"/>
      <c r="N28" s="56">
        <f>3000000+3186400+3468460+193000</f>
        <v>9847860</v>
      </c>
    </row>
    <row r="29" spans="1:17" s="55" customFormat="1" ht="16.5" customHeight="1" x14ac:dyDescent="0.25">
      <c r="A29" s="51" t="s">
        <v>62</v>
      </c>
      <c r="B29" s="52" t="s">
        <v>27</v>
      </c>
      <c r="C29" s="23">
        <v>22500000</v>
      </c>
      <c r="D29" s="53"/>
      <c r="E29" s="45">
        <f>1125000+1125000</f>
        <v>2250000</v>
      </c>
      <c r="F29" s="23">
        <f>H29+I29</f>
        <v>20250000</v>
      </c>
      <c r="G29" s="26"/>
      <c r="H29" s="45"/>
      <c r="I29" s="54">
        <f>C29+D29-E29</f>
        <v>20250000</v>
      </c>
      <c r="J29" s="28" t="s">
        <v>15</v>
      </c>
      <c r="N29" s="105" t="s">
        <v>96</v>
      </c>
      <c r="O29" s="104">
        <v>328842</v>
      </c>
    </row>
    <row r="30" spans="1:17" s="55" customFormat="1" ht="16.5" customHeight="1" x14ac:dyDescent="0.25">
      <c r="A30" s="51" t="s">
        <v>64</v>
      </c>
      <c r="B30" s="52" t="s">
        <v>30</v>
      </c>
      <c r="C30" s="23">
        <v>71686022</v>
      </c>
      <c r="D30" s="114">
        <v>80466000</v>
      </c>
      <c r="E30" s="45">
        <f>34786080</f>
        <v>34786080</v>
      </c>
      <c r="F30" s="23">
        <f t="shared" ref="F30:F41" si="6">H30+I30</f>
        <v>117365942</v>
      </c>
      <c r="G30" s="26"/>
      <c r="H30" s="45"/>
      <c r="I30" s="54">
        <f t="shared" ref="I30:I41" si="7">C30+D30-E30</f>
        <v>117365942</v>
      </c>
      <c r="J30" s="28" t="s">
        <v>15</v>
      </c>
      <c r="N30" s="56" t="s">
        <v>94</v>
      </c>
      <c r="O30" s="56">
        <f>O29*40%</f>
        <v>131536.80000000002</v>
      </c>
    </row>
    <row r="31" spans="1:17" s="55" customFormat="1" ht="16.5" customHeight="1" x14ac:dyDescent="0.25">
      <c r="A31" s="51" t="s">
        <v>66</v>
      </c>
      <c r="B31" s="52" t="s">
        <v>33</v>
      </c>
      <c r="C31" s="23">
        <v>14248168</v>
      </c>
      <c r="D31" s="114">
        <v>19166000</v>
      </c>
      <c r="E31" s="45">
        <f>9954100</f>
        <v>9954100</v>
      </c>
      <c r="F31" s="23">
        <f t="shared" si="6"/>
        <v>23460068</v>
      </c>
      <c r="G31" s="26"/>
      <c r="H31" s="45"/>
      <c r="I31" s="54">
        <f t="shared" si="7"/>
        <v>23460068</v>
      </c>
      <c r="J31" s="28" t="s">
        <v>15</v>
      </c>
      <c r="N31" s="56" t="s">
        <v>95</v>
      </c>
      <c r="O31" s="56">
        <f>O29*60%</f>
        <v>197305.19999999998</v>
      </c>
    </row>
    <row r="32" spans="1:17" s="4" customFormat="1" ht="16.5" customHeight="1" x14ac:dyDescent="0.25">
      <c r="A32" s="51" t="s">
        <v>68</v>
      </c>
      <c r="B32" s="41" t="s">
        <v>36</v>
      </c>
      <c r="C32" s="23">
        <v>30620534</v>
      </c>
      <c r="D32" s="115">
        <v>28160000</v>
      </c>
      <c r="E32" s="36">
        <f>25877800</f>
        <v>25877800</v>
      </c>
      <c r="F32" s="23">
        <f t="shared" si="3"/>
        <v>32902734</v>
      </c>
      <c r="G32" s="26"/>
      <c r="H32" s="31"/>
      <c r="I32" s="54">
        <f t="shared" si="7"/>
        <v>32902734</v>
      </c>
      <c r="J32" s="28" t="s">
        <v>15</v>
      </c>
      <c r="N32" s="20"/>
      <c r="O32" s="20"/>
    </row>
    <row r="33" spans="1:23" s="4" customFormat="1" ht="16.5" customHeight="1" x14ac:dyDescent="0.25">
      <c r="A33" s="51" t="s">
        <v>70</v>
      </c>
      <c r="B33" s="41" t="s">
        <v>42</v>
      </c>
      <c r="C33" s="23">
        <v>27885874</v>
      </c>
      <c r="D33" s="115">
        <v>13385000</v>
      </c>
      <c r="E33" s="36">
        <v>12982000</v>
      </c>
      <c r="F33" s="23">
        <f t="shared" si="6"/>
        <v>28288874</v>
      </c>
      <c r="G33" s="26"/>
      <c r="H33" s="31"/>
      <c r="I33" s="54">
        <f t="shared" si="7"/>
        <v>28288874</v>
      </c>
      <c r="J33" s="28" t="s">
        <v>15</v>
      </c>
      <c r="N33" s="20"/>
      <c r="O33" s="20"/>
    </row>
    <row r="34" spans="1:23" s="4" customFormat="1" ht="16.5" customHeight="1" x14ac:dyDescent="0.25">
      <c r="A34" s="51" t="s">
        <v>75</v>
      </c>
      <c r="B34" s="41" t="s">
        <v>47</v>
      </c>
      <c r="C34" s="23">
        <v>63971448</v>
      </c>
      <c r="D34" s="57"/>
      <c r="E34" s="36">
        <v>18000000</v>
      </c>
      <c r="F34" s="23">
        <f t="shared" si="6"/>
        <v>45971448</v>
      </c>
      <c r="G34" s="26"/>
      <c r="H34" s="31"/>
      <c r="I34" s="54">
        <f t="shared" si="7"/>
        <v>45971448</v>
      </c>
      <c r="J34" s="28" t="s">
        <v>15</v>
      </c>
      <c r="N34" s="20"/>
      <c r="O34" s="20"/>
    </row>
    <row r="35" spans="1:23" s="4" customFormat="1" ht="16.5" customHeight="1" x14ac:dyDescent="0.25">
      <c r="A35" s="51" t="s">
        <v>76</v>
      </c>
      <c r="B35" s="41" t="s">
        <v>49</v>
      </c>
      <c r="C35" s="23">
        <v>22323000</v>
      </c>
      <c r="D35" s="115">
        <v>26250000</v>
      </c>
      <c r="E35" s="36">
        <f>1155000+4290000+2154000</f>
        <v>7599000</v>
      </c>
      <c r="F35" s="23">
        <f t="shared" si="6"/>
        <v>40974000</v>
      </c>
      <c r="G35" s="26"/>
      <c r="H35" s="31"/>
      <c r="I35" s="54">
        <f t="shared" si="7"/>
        <v>40974000</v>
      </c>
      <c r="J35" s="28" t="s">
        <v>15</v>
      </c>
      <c r="N35" s="20"/>
      <c r="O35" s="20"/>
    </row>
    <row r="36" spans="1:23" s="4" customFormat="1" ht="16.5" customHeight="1" x14ac:dyDescent="0.25">
      <c r="A36" s="51" t="s">
        <v>77</v>
      </c>
      <c r="B36" s="41" t="s">
        <v>51</v>
      </c>
      <c r="C36" s="23">
        <v>90654615</v>
      </c>
      <c r="D36" s="115">
        <v>54340000</v>
      </c>
      <c r="E36" s="36">
        <f>11729510+10177440</f>
        <v>21906950</v>
      </c>
      <c r="F36" s="23">
        <f>H36+I36</f>
        <v>123087665</v>
      </c>
      <c r="G36" s="26"/>
      <c r="H36" s="31"/>
      <c r="I36" s="54">
        <f>C36+D36-E36</f>
        <v>123087665</v>
      </c>
      <c r="J36" s="28" t="s">
        <v>15</v>
      </c>
      <c r="N36" s="20"/>
      <c r="O36" s="20"/>
    </row>
    <row r="37" spans="1:23" s="4" customFormat="1" ht="16.5" customHeight="1" x14ac:dyDescent="0.25">
      <c r="A37" s="51" t="s">
        <v>78</v>
      </c>
      <c r="B37" s="41" t="s">
        <v>53</v>
      </c>
      <c r="C37" s="23">
        <v>17237736</v>
      </c>
      <c r="D37" s="115">
        <v>19230000</v>
      </c>
      <c r="E37" s="36">
        <f>4309110+44000+22000+2686000</f>
        <v>7061110</v>
      </c>
      <c r="F37" s="23">
        <f t="shared" si="6"/>
        <v>29406626</v>
      </c>
      <c r="G37" s="26"/>
      <c r="H37" s="31"/>
      <c r="I37" s="54">
        <f t="shared" si="7"/>
        <v>29406626</v>
      </c>
      <c r="J37" s="28" t="s">
        <v>15</v>
      </c>
      <c r="N37" s="20"/>
      <c r="O37" s="20"/>
    </row>
    <row r="38" spans="1:23" s="4" customFormat="1" ht="16.5" customHeight="1" x14ac:dyDescent="0.25">
      <c r="A38" s="51" t="s">
        <v>97</v>
      </c>
      <c r="B38" s="41" t="s">
        <v>57</v>
      </c>
      <c r="C38" s="23">
        <v>7454900</v>
      </c>
      <c r="D38" s="115">
        <v>10535000</v>
      </c>
      <c r="E38" s="36">
        <f>1602650+200000</f>
        <v>1802650</v>
      </c>
      <c r="F38" s="23">
        <f t="shared" si="6"/>
        <v>16187250</v>
      </c>
      <c r="G38" s="26"/>
      <c r="H38" s="31"/>
      <c r="I38" s="54">
        <f t="shared" si="7"/>
        <v>16187250</v>
      </c>
      <c r="J38" s="28" t="s">
        <v>15</v>
      </c>
      <c r="N38" s="20"/>
      <c r="O38" s="20"/>
    </row>
    <row r="39" spans="1:23" s="4" customFormat="1" ht="16.5" customHeight="1" x14ac:dyDescent="0.25">
      <c r="A39" s="51" t="s">
        <v>98</v>
      </c>
      <c r="B39" s="41" t="s">
        <v>105</v>
      </c>
      <c r="C39" s="23"/>
      <c r="D39" s="115">
        <v>6324500</v>
      </c>
      <c r="E39" s="36"/>
      <c r="F39" s="23">
        <f t="shared" si="6"/>
        <v>6324500</v>
      </c>
      <c r="G39" s="26"/>
      <c r="H39" s="31"/>
      <c r="I39" s="54">
        <f t="shared" si="7"/>
        <v>6324500</v>
      </c>
      <c r="J39" s="28" t="s">
        <v>15</v>
      </c>
      <c r="N39" s="20"/>
      <c r="O39" s="20"/>
    </row>
    <row r="40" spans="1:23" s="4" customFormat="1" ht="16.5" customHeight="1" x14ac:dyDescent="0.25">
      <c r="A40" s="51" t="s">
        <v>106</v>
      </c>
      <c r="B40" s="41" t="s">
        <v>59</v>
      </c>
      <c r="C40" s="23">
        <v>197305</v>
      </c>
      <c r="D40" s="57"/>
      <c r="E40" s="36"/>
      <c r="F40" s="23">
        <f t="shared" si="6"/>
        <v>197305</v>
      </c>
      <c r="G40" s="26"/>
      <c r="H40" s="31"/>
      <c r="I40" s="54">
        <f t="shared" si="7"/>
        <v>197305</v>
      </c>
      <c r="J40" s="28" t="s">
        <v>15</v>
      </c>
      <c r="N40" s="108" t="s">
        <v>99</v>
      </c>
      <c r="O40" s="11">
        <f>F19+F40</f>
        <v>2682015</v>
      </c>
    </row>
    <row r="41" spans="1:23" s="4" customFormat="1" ht="16.5" customHeight="1" x14ac:dyDescent="0.25">
      <c r="A41" s="51" t="s">
        <v>107</v>
      </c>
      <c r="B41" s="41" t="s">
        <v>69</v>
      </c>
      <c r="C41" s="23">
        <v>131537</v>
      </c>
      <c r="D41" s="42"/>
      <c r="E41" s="43"/>
      <c r="F41" s="23">
        <f t="shared" si="6"/>
        <v>131537</v>
      </c>
      <c r="G41" s="26"/>
      <c r="H41" s="31"/>
      <c r="I41" s="54">
        <f t="shared" si="7"/>
        <v>131537</v>
      </c>
      <c r="J41" s="28" t="s">
        <v>15</v>
      </c>
      <c r="N41" s="108" t="s">
        <v>100</v>
      </c>
      <c r="O41" s="20">
        <f>F24+F41</f>
        <v>1004124</v>
      </c>
    </row>
    <row r="42" spans="1:23" s="4" customFormat="1" hidden="1" x14ac:dyDescent="0.25">
      <c r="A42" s="58"/>
      <c r="B42" s="32" t="s">
        <v>79</v>
      </c>
      <c r="C42" s="59">
        <v>0</v>
      </c>
      <c r="D42" s="59">
        <f t="shared" ref="D42:H42" si="8">D43</f>
        <v>0</v>
      </c>
      <c r="E42" s="59">
        <f t="shared" si="8"/>
        <v>0</v>
      </c>
      <c r="F42" s="59">
        <f>F43</f>
        <v>0</v>
      </c>
      <c r="G42" s="59">
        <f t="shared" si="8"/>
        <v>0</v>
      </c>
      <c r="H42" s="59">
        <f t="shared" si="8"/>
        <v>0</v>
      </c>
      <c r="I42" s="59">
        <f>I43</f>
        <v>0</v>
      </c>
      <c r="J42" s="60" t="s">
        <v>15</v>
      </c>
      <c r="K42" s="61"/>
      <c r="L42" s="61"/>
      <c r="M42" s="61"/>
    </row>
    <row r="43" spans="1:23" s="4" customFormat="1" hidden="1" x14ac:dyDescent="0.25">
      <c r="A43" s="46" t="s">
        <v>68</v>
      </c>
      <c r="B43" s="41" t="s">
        <v>80</v>
      </c>
      <c r="C43" s="62">
        <v>0</v>
      </c>
      <c r="D43" s="63"/>
      <c r="E43" s="45"/>
      <c r="F43" s="23">
        <f t="shared" si="3"/>
        <v>0</v>
      </c>
      <c r="G43" s="26"/>
      <c r="H43" s="31"/>
      <c r="I43" s="27">
        <f t="shared" si="4"/>
        <v>0</v>
      </c>
      <c r="J43" s="28" t="s">
        <v>15</v>
      </c>
      <c r="V43" s="64"/>
      <c r="W43" s="65"/>
    </row>
    <row r="44" spans="1:23" s="4" customFormat="1" hidden="1" x14ac:dyDescent="0.25">
      <c r="A44" s="46" t="s">
        <v>70</v>
      </c>
      <c r="B44" s="41"/>
      <c r="C44" s="62"/>
      <c r="D44" s="66"/>
      <c r="E44" s="45"/>
      <c r="F44" s="23"/>
      <c r="G44" s="26"/>
      <c r="H44" s="31"/>
      <c r="I44" s="27"/>
      <c r="J44" s="28"/>
      <c r="V44" s="67"/>
      <c r="W44" s="65"/>
    </row>
    <row r="45" spans="1:23" s="4" customFormat="1" hidden="1" x14ac:dyDescent="0.25">
      <c r="A45" s="46" t="s">
        <v>75</v>
      </c>
      <c r="B45" s="41" t="s">
        <v>81</v>
      </c>
      <c r="C45" s="23"/>
      <c r="D45" s="66"/>
      <c r="E45" s="68"/>
      <c r="F45" s="23">
        <f t="shared" si="3"/>
        <v>0</v>
      </c>
      <c r="G45" s="26"/>
      <c r="H45" s="31"/>
      <c r="I45" s="27">
        <f t="shared" si="4"/>
        <v>0</v>
      </c>
      <c r="J45" s="28" t="s">
        <v>82</v>
      </c>
      <c r="K45" s="69"/>
      <c r="L45" s="69"/>
      <c r="M45" s="69"/>
      <c r="N45" s="69"/>
      <c r="O45" s="69"/>
      <c r="V45" s="70"/>
      <c r="W45" s="65"/>
    </row>
    <row r="46" spans="1:23" s="4" customFormat="1" ht="16.5" customHeight="1" x14ac:dyDescent="0.25">
      <c r="A46" s="32"/>
      <c r="B46" s="48" t="s">
        <v>83</v>
      </c>
      <c r="C46" s="33">
        <f>(C6+C11+C28+C42+C45)</f>
        <v>10020518189</v>
      </c>
      <c r="D46" s="33">
        <f>(D6+D11+D28+D42+D45)</f>
        <v>1387622000</v>
      </c>
      <c r="E46" s="33">
        <f>(E6+E11+E28+E42+E45)</f>
        <v>1196239206</v>
      </c>
      <c r="F46" s="33">
        <f>(F6+F11+F28+F42+F45)</f>
        <v>10211900983</v>
      </c>
      <c r="G46" s="33"/>
      <c r="H46" s="33"/>
      <c r="I46" s="33">
        <f>(I6+I11+I28+I42+I45)</f>
        <v>10211900983</v>
      </c>
      <c r="J46" s="33"/>
      <c r="K46" s="3"/>
      <c r="L46" s="3"/>
      <c r="M46" s="3"/>
      <c r="N46" s="3"/>
      <c r="O46" s="3"/>
      <c r="V46" s="3"/>
      <c r="W46" s="71"/>
    </row>
    <row r="47" spans="1:23" s="4" customFormat="1" x14ac:dyDescent="0.25">
      <c r="A47" s="72"/>
      <c r="B47" s="73"/>
      <c r="C47" s="74"/>
      <c r="D47" s="74"/>
      <c r="E47" s="74"/>
      <c r="F47" s="74"/>
      <c r="G47" s="74"/>
      <c r="H47" s="74"/>
      <c r="I47" s="74"/>
      <c r="J47" s="74"/>
      <c r="K47" s="3"/>
      <c r="L47" s="3"/>
      <c r="M47" s="3"/>
      <c r="N47" s="3"/>
      <c r="O47" s="3"/>
      <c r="V47" s="3"/>
      <c r="W47" s="71"/>
    </row>
    <row r="48" spans="1:23" s="4" customFormat="1" x14ac:dyDescent="0.25">
      <c r="A48" s="110"/>
      <c r="B48" s="75"/>
      <c r="C48" s="75"/>
      <c r="D48" s="10"/>
      <c r="E48" s="10"/>
      <c r="F48" s="3"/>
      <c r="G48" s="3"/>
      <c r="H48" s="124" t="s">
        <v>103</v>
      </c>
      <c r="I48" s="124"/>
      <c r="J48" s="124"/>
      <c r="K48" s="3"/>
      <c r="L48" s="40" t="e">
        <f>#REF!-#REF!</f>
        <v>#REF!</v>
      </c>
      <c r="M48" s="3"/>
      <c r="N48" s="3"/>
      <c r="O48" s="3"/>
      <c r="V48" s="76"/>
      <c r="W48" s="77"/>
    </row>
    <row r="49" spans="1:23" s="4" customFormat="1" x14ac:dyDescent="0.25">
      <c r="A49" s="110"/>
      <c r="B49" s="110" t="s">
        <v>84</v>
      </c>
      <c r="C49" s="69"/>
      <c r="D49" s="109" t="s">
        <v>85</v>
      </c>
      <c r="E49" s="69"/>
      <c r="F49" s="110" t="s">
        <v>86</v>
      </c>
      <c r="G49" s="3"/>
      <c r="H49" s="125" t="s">
        <v>87</v>
      </c>
      <c r="I49" s="125"/>
      <c r="J49" s="125"/>
      <c r="K49" s="3"/>
      <c r="L49" s="3"/>
      <c r="M49" s="3"/>
      <c r="N49" s="3"/>
      <c r="O49" s="3"/>
      <c r="V49" s="76"/>
      <c r="W49" s="77"/>
    </row>
    <row r="50" spans="1:23" s="4" customFormat="1" x14ac:dyDescent="0.25">
      <c r="A50" s="3"/>
      <c r="B50" s="3"/>
      <c r="C50" s="3"/>
      <c r="D50" s="3"/>
      <c r="E50" s="3"/>
      <c r="F50" s="75"/>
      <c r="G50" s="10"/>
      <c r="H50" s="3"/>
      <c r="I50" s="3"/>
      <c r="J50" s="3"/>
      <c r="K50" s="3"/>
      <c r="L50" s="40"/>
      <c r="M50" s="3"/>
      <c r="N50" s="3"/>
      <c r="O50" s="3"/>
      <c r="V50" s="70"/>
      <c r="W50" s="79"/>
    </row>
    <row r="51" spans="1:23" s="4" customFormat="1" x14ac:dyDescent="0.25">
      <c r="A51" s="3"/>
      <c r="B51" s="3"/>
      <c r="C51" s="3"/>
      <c r="D51" s="3"/>
      <c r="E51" s="10"/>
      <c r="F51" s="75"/>
      <c r="G51" s="3"/>
      <c r="H51" s="3"/>
      <c r="I51" s="3"/>
      <c r="J51" s="3"/>
      <c r="K51" s="3"/>
      <c r="L51" s="40"/>
      <c r="M51" s="3"/>
      <c r="N51" s="3"/>
      <c r="O51" s="3"/>
      <c r="Q51" s="11"/>
      <c r="V51" s="70"/>
      <c r="W51" s="79"/>
    </row>
    <row r="52" spans="1:23" s="4" customFormat="1" x14ac:dyDescent="0.25">
      <c r="A52" s="3"/>
      <c r="B52" s="3"/>
      <c r="C52" s="3"/>
      <c r="D52" s="3"/>
      <c r="E52" s="3"/>
      <c r="F52" s="75"/>
      <c r="G52" s="10"/>
      <c r="H52" s="3"/>
      <c r="I52" s="3"/>
      <c r="J52" s="3"/>
      <c r="K52" s="3"/>
      <c r="L52" s="40"/>
      <c r="M52" s="3"/>
      <c r="N52" s="3"/>
      <c r="O52" s="3"/>
      <c r="V52" s="70"/>
      <c r="W52" s="79"/>
    </row>
    <row r="53" spans="1:23" s="4" customFormat="1" x14ac:dyDescent="0.25">
      <c r="A53" s="3"/>
      <c r="B53" s="110" t="s">
        <v>88</v>
      </c>
      <c r="C53" s="3"/>
      <c r="D53" s="110" t="s">
        <v>89</v>
      </c>
      <c r="E53" s="3"/>
      <c r="F53" s="110" t="s">
        <v>90</v>
      </c>
      <c r="G53" s="69"/>
      <c r="H53" s="126" t="s">
        <v>91</v>
      </c>
      <c r="I53" s="126"/>
      <c r="J53" s="126"/>
      <c r="K53" s="3"/>
      <c r="L53" s="3"/>
      <c r="M53" s="3"/>
      <c r="N53" s="3"/>
      <c r="O53" s="3"/>
      <c r="V53" s="70"/>
      <c r="W53" s="79"/>
    </row>
    <row r="54" spans="1:23" x14ac:dyDescent="0.25">
      <c r="A54" s="80"/>
      <c r="B54" s="81"/>
      <c r="C54" s="80"/>
      <c r="D54" s="80"/>
      <c r="E54" s="80"/>
      <c r="F54" s="82"/>
      <c r="G54" s="83"/>
      <c r="H54" s="84"/>
      <c r="I54" s="84"/>
      <c r="J54" s="84"/>
      <c r="K54" s="80"/>
      <c r="L54" s="80"/>
      <c r="M54" s="80"/>
      <c r="N54" s="80"/>
      <c r="O54" s="80"/>
      <c r="V54" s="3"/>
      <c r="W54" s="85"/>
    </row>
    <row r="55" spans="1:23" ht="17.25" x14ac:dyDescent="0.3">
      <c r="A55" s="80"/>
      <c r="F55" s="86"/>
      <c r="G55" s="80"/>
      <c r="H55" s="80"/>
      <c r="I55" s="87"/>
      <c r="J55" s="80"/>
      <c r="K55" s="80"/>
      <c r="L55" s="80"/>
      <c r="M55" s="80"/>
      <c r="N55" s="80"/>
      <c r="O55" s="80"/>
      <c r="V55" s="88"/>
      <c r="W55" s="89"/>
    </row>
    <row r="56" spans="1:23" ht="17.25" x14ac:dyDescent="0.3">
      <c r="V56" s="90"/>
      <c r="W56" s="89"/>
    </row>
    <row r="57" spans="1:23" ht="17.25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1"/>
      <c r="W57" s="92"/>
    </row>
    <row r="58" spans="1:23" ht="17.25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3"/>
      <c r="W58" s="94"/>
    </row>
    <row r="59" spans="1:23" x14ac:dyDescent="0.25">
      <c r="A59" s="80"/>
      <c r="F59" s="80"/>
      <c r="G59" s="80"/>
      <c r="H59" s="80"/>
      <c r="I59" s="87"/>
      <c r="J59" s="80"/>
      <c r="K59" s="80"/>
      <c r="L59" s="80"/>
      <c r="M59" s="80"/>
      <c r="N59" s="80"/>
      <c r="O59" s="80"/>
      <c r="V59" s="95"/>
      <c r="W59" s="95"/>
    </row>
    <row r="60" spans="1:23" x14ac:dyDescent="0.25">
      <c r="A60" s="80"/>
      <c r="F60" s="80"/>
      <c r="G60" s="80"/>
      <c r="H60" s="80"/>
      <c r="I60" s="87"/>
      <c r="J60" s="80"/>
      <c r="K60" s="80"/>
      <c r="L60" s="80"/>
      <c r="M60" s="80"/>
      <c r="N60" s="80"/>
      <c r="O60" s="80"/>
      <c r="V60" s="95"/>
      <c r="W60" s="95"/>
    </row>
    <row r="61" spans="1:23" ht="15.75" x14ac:dyDescent="0.3">
      <c r="A61" s="96"/>
      <c r="F61" s="96"/>
      <c r="G61" s="96"/>
      <c r="H61" s="96"/>
      <c r="I61" s="97"/>
      <c r="J61" s="96"/>
      <c r="V61" s="95"/>
      <c r="W61" s="95"/>
    </row>
    <row r="62" spans="1:23" ht="15.75" x14ac:dyDescent="0.3">
      <c r="A62" s="96"/>
      <c r="F62" s="96"/>
      <c r="G62" s="96"/>
      <c r="H62" s="96"/>
      <c r="I62" s="96"/>
      <c r="J62" s="96"/>
      <c r="V62" s="95"/>
      <c r="W62" s="95"/>
    </row>
    <row r="63" spans="1:23" ht="15.75" x14ac:dyDescent="0.3">
      <c r="A63" s="96"/>
      <c r="F63" s="98"/>
      <c r="G63" s="98"/>
      <c r="H63" s="96"/>
      <c r="I63" s="96"/>
      <c r="J63" s="96"/>
      <c r="V63" s="95"/>
      <c r="W63" s="95"/>
    </row>
    <row r="64" spans="1:23" ht="15.75" x14ac:dyDescent="0.3">
      <c r="A64" s="96"/>
      <c r="F64" s="98"/>
      <c r="G64" s="98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6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6"/>
      <c r="I68" s="96"/>
      <c r="J68" s="96"/>
      <c r="V68" s="95"/>
      <c r="W68" s="95"/>
    </row>
    <row r="69" spans="1:23" ht="15.75" x14ac:dyDescent="0.3">
      <c r="A69" s="96"/>
      <c r="F69" s="96"/>
      <c r="G69" s="96"/>
      <c r="H69" s="97"/>
      <c r="I69" s="96"/>
      <c r="J69" s="96"/>
      <c r="V69" s="95"/>
      <c r="W69" s="95"/>
    </row>
    <row r="70" spans="1:23" ht="15.75" x14ac:dyDescent="0.3">
      <c r="A70" s="96"/>
      <c r="F70" s="96"/>
      <c r="G70" s="96"/>
      <c r="H70" s="98"/>
      <c r="I70" s="96"/>
      <c r="J70" s="96"/>
      <c r="V70" s="95"/>
      <c r="W70" s="95"/>
    </row>
    <row r="71" spans="1:23" ht="15.75" x14ac:dyDescent="0.3">
      <c r="A71" s="96"/>
      <c r="F71" s="99"/>
      <c r="G71" s="99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  <c r="V78" s="95"/>
      <c r="W78" s="95"/>
    </row>
    <row r="79" spans="1:23" ht="15.75" x14ac:dyDescent="0.3">
      <c r="A79" s="96"/>
      <c r="F79" s="96"/>
      <c r="G79" s="96"/>
      <c r="H79" s="96"/>
      <c r="I79" s="96"/>
      <c r="J79" s="96"/>
      <c r="V79" s="95"/>
      <c r="W79" s="95"/>
    </row>
    <row r="80" spans="1:23" ht="15.75" x14ac:dyDescent="0.3">
      <c r="A80" s="96"/>
      <c r="F80" s="96"/>
      <c r="G80" s="96"/>
      <c r="H80" s="96"/>
      <c r="I80" s="96"/>
      <c r="J80" s="96"/>
    </row>
    <row r="81" spans="1:15" ht="15.75" customHeight="1" x14ac:dyDescent="0.35">
      <c r="A81" s="100"/>
      <c r="F81" s="101"/>
      <c r="G81" s="101"/>
      <c r="H81" s="100"/>
      <c r="I81" s="100"/>
      <c r="J81" s="100"/>
      <c r="K81" s="100"/>
      <c r="L81" s="100"/>
      <c r="M81" s="100"/>
      <c r="N81" s="100"/>
      <c r="O81" s="100"/>
    </row>
    <row r="83" spans="1:15" x14ac:dyDescent="0.25">
      <c r="C83" s="102"/>
      <c r="D83" s="102"/>
      <c r="E83" s="103"/>
    </row>
    <row r="84" spans="1:15" x14ac:dyDescent="0.25">
      <c r="C84" s="102"/>
      <c r="D84" s="102"/>
    </row>
    <row r="85" spans="1:15" x14ac:dyDescent="0.25">
      <c r="C85" s="102"/>
      <c r="D85" s="102"/>
    </row>
    <row r="86" spans="1:15" x14ac:dyDescent="0.25">
      <c r="C86" s="102"/>
      <c r="D86" s="102"/>
    </row>
    <row r="87" spans="1:15" x14ac:dyDescent="0.25">
      <c r="C87" s="102"/>
      <c r="D87" s="102"/>
    </row>
    <row r="88" spans="1:15" x14ac:dyDescent="0.25">
      <c r="C88" s="102"/>
      <c r="D88" s="102"/>
    </row>
    <row r="89" spans="1:15" x14ac:dyDescent="0.25">
      <c r="C89" s="102"/>
      <c r="D89" s="102"/>
    </row>
    <row r="90" spans="1:15" x14ac:dyDescent="0.25">
      <c r="C90" s="102"/>
      <c r="D90" s="102"/>
    </row>
    <row r="91" spans="1:15" x14ac:dyDescent="0.25">
      <c r="C91" s="102"/>
      <c r="D91" s="102"/>
    </row>
    <row r="92" spans="1:15" x14ac:dyDescent="0.25">
      <c r="C92" s="102"/>
      <c r="D92" s="102"/>
    </row>
    <row r="93" spans="1:15" x14ac:dyDescent="0.25">
      <c r="C93" s="102"/>
      <c r="D93" s="102"/>
    </row>
    <row r="94" spans="1:15" x14ac:dyDescent="0.25">
      <c r="C94" s="102"/>
      <c r="D94" s="102"/>
    </row>
    <row r="95" spans="1:15" x14ac:dyDescent="0.25">
      <c r="C95" s="102"/>
      <c r="D95" s="102"/>
    </row>
    <row r="96" spans="1:1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  <row r="101" spans="3:4" x14ac:dyDescent="0.25">
      <c r="C101" s="102"/>
      <c r="D101" s="102"/>
    </row>
    <row r="102" spans="3:4" x14ac:dyDescent="0.25">
      <c r="C102" s="102"/>
      <c r="D102" s="102"/>
    </row>
  </sheetData>
  <mergeCells count="13">
    <mergeCell ref="H48:J48"/>
    <mergeCell ref="H49:J49"/>
    <mergeCell ref="H53:J53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45" right="0.45" top="0.5" bottom="0.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opLeftCell="A14" workbookViewId="0">
      <selection activeCell="F31" sqref="F31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8.140625" customWidth="1"/>
    <col min="6" max="6" width="14.42578125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113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8383267970</v>
      </c>
      <c r="D6" s="16">
        <f t="shared" ref="D6:H6" si="0">SUM(D7:D10)</f>
        <v>0</v>
      </c>
      <c r="E6" s="16">
        <f>SUM(E7:E10)</f>
        <v>601068454</v>
      </c>
      <c r="F6" s="16">
        <f>SUM(F7:F9)</f>
        <v>7782199516</v>
      </c>
      <c r="G6" s="16">
        <f t="shared" si="0"/>
        <v>0</v>
      </c>
      <c r="H6" s="16">
        <f t="shared" si="0"/>
        <v>0</v>
      </c>
      <c r="I6" s="16">
        <f>SUM(I7:I9)</f>
        <v>7782199516</v>
      </c>
      <c r="J6" s="17" t="s">
        <v>15</v>
      </c>
      <c r="K6" s="18"/>
      <c r="L6" s="19"/>
      <c r="M6" s="19"/>
      <c r="N6" s="10">
        <f>F7+F9</f>
        <v>4642114621</v>
      </c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5143183075</v>
      </c>
      <c r="D7" s="27"/>
      <c r="E7" s="25">
        <f>336708335+26981415+2640000+7480000+660000+28500000+5181802+84713357+5294585+8735000+94173960</f>
        <v>601068454</v>
      </c>
      <c r="F7" s="23">
        <f>H7+I7</f>
        <v>4542114621</v>
      </c>
      <c r="G7" s="26"/>
      <c r="H7" s="27"/>
      <c r="I7" s="27">
        <f>C7+D7-E7+G7</f>
        <v>4542114621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3140084895</v>
      </c>
      <c r="D8" s="27"/>
      <c r="E8" s="25"/>
      <c r="F8" s="23">
        <f t="shared" ref="F8" si="1">H8+I8</f>
        <v>3140084895</v>
      </c>
      <c r="G8" s="26"/>
      <c r="H8" s="27"/>
      <c r="I8" s="27">
        <f>C8+D8-E8+G8</f>
        <v>3140084895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100000000</v>
      </c>
      <c r="D9" s="27"/>
      <c r="E9" s="25"/>
      <c r="F9" s="23">
        <f>H9+I9</f>
        <v>100000000</v>
      </c>
      <c r="G9" s="26"/>
      <c r="H9" s="27"/>
      <c r="I9" s="27">
        <f>C9+D9-E9+G9</f>
        <v>100000000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102</v>
      </c>
      <c r="C11" s="16">
        <f t="shared" ref="C11:I11" si="2">SUM(C12:C27)</f>
        <v>1344085064</v>
      </c>
      <c r="D11" s="16">
        <f t="shared" si="2"/>
        <v>1237306500</v>
      </c>
      <c r="E11" s="33">
        <f t="shared" si="2"/>
        <v>1135886800</v>
      </c>
      <c r="F11" s="16">
        <f t="shared" si="2"/>
        <v>1445504764</v>
      </c>
      <c r="G11" s="16">
        <f t="shared" si="2"/>
        <v>0</v>
      </c>
      <c r="H11" s="16">
        <f t="shared" si="2"/>
        <v>0</v>
      </c>
      <c r="I11" s="16">
        <f t="shared" si="2"/>
        <v>1445504764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56320000</v>
      </c>
      <c r="D12" s="36">
        <v>54520000</v>
      </c>
      <c r="E12" s="36">
        <v>56320000</v>
      </c>
      <c r="F12" s="23">
        <f t="shared" ref="F12:F45" si="3">H12+I12</f>
        <v>54520000</v>
      </c>
      <c r="G12" s="26"/>
      <c r="H12" s="31"/>
      <c r="I12" s="27">
        <f t="shared" ref="I12:I45" si="4">C12+D12-E12</f>
        <v>54520000</v>
      </c>
      <c r="J12" s="28" t="s">
        <v>15</v>
      </c>
      <c r="K12" s="10"/>
      <c r="L12" s="40"/>
      <c r="M12" s="40"/>
      <c r="N12" s="10">
        <f>D12+D13+D14+D15+D16+D17+D18+D24+D25+D26+D27</f>
        <v>1237306500</v>
      </c>
      <c r="O12" s="10">
        <f>E12+E13+E14+E15+E16+E17+E18+E24+E25+E26+E27</f>
        <v>1135886800</v>
      </c>
      <c r="P12" s="37" t="s">
        <v>28</v>
      </c>
      <c r="Q12" s="10">
        <f>F12+F13+F14+F15+F16+F17+F18+F24+F25+F26</f>
        <v>1381309070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118667663</v>
      </c>
      <c r="D13" s="36"/>
      <c r="E13" s="36">
        <v>3847800</v>
      </c>
      <c r="F13" s="23">
        <f t="shared" si="3"/>
        <v>114819863</v>
      </c>
      <c r="G13" s="26"/>
      <c r="H13" s="31"/>
      <c r="I13" s="27">
        <f t="shared" si="4"/>
        <v>114819863</v>
      </c>
      <c r="J13" s="28" t="s">
        <v>15</v>
      </c>
      <c r="K13" s="3"/>
      <c r="L13" s="40">
        <f>SUM(D11:D45)</f>
        <v>2978306000</v>
      </c>
      <c r="M13" s="40">
        <f>SUM(E11:E45)</f>
        <v>2713623594</v>
      </c>
      <c r="N13" s="10">
        <f>D19</f>
        <v>0</v>
      </c>
      <c r="O13" s="10">
        <f>E19</f>
        <v>0</v>
      </c>
      <c r="P13" s="37" t="s">
        <v>31</v>
      </c>
      <c r="Q13" s="39">
        <f>F19</f>
        <v>2484710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728599200</v>
      </c>
      <c r="D14" s="36">
        <v>811356000</v>
      </c>
      <c r="E14" s="36">
        <f>694017500+12606000</f>
        <v>706623500</v>
      </c>
      <c r="F14" s="23">
        <f t="shared" si="3"/>
        <v>833331700</v>
      </c>
      <c r="G14" s="26"/>
      <c r="H14" s="31"/>
      <c r="I14" s="27">
        <f t="shared" si="4"/>
        <v>833331700</v>
      </c>
      <c r="J14" s="28" t="s">
        <v>15</v>
      </c>
      <c r="K14" s="3"/>
      <c r="L14" s="40"/>
      <c r="M14" s="3"/>
      <c r="N14" s="10">
        <f>D23</f>
        <v>0</v>
      </c>
      <c r="O14" s="10">
        <f>E23</f>
        <v>0</v>
      </c>
      <c r="P14" s="37" t="s">
        <v>34</v>
      </c>
      <c r="Q14" s="39">
        <f>F23</f>
        <v>0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217360000</v>
      </c>
      <c r="D15" s="36">
        <v>213440000</v>
      </c>
      <c r="E15" s="36">
        <v>217360000</v>
      </c>
      <c r="F15" s="23">
        <f>H15+I15</f>
        <v>213440000</v>
      </c>
      <c r="G15" s="26"/>
      <c r="H15" s="31"/>
      <c r="I15" s="27">
        <f t="shared" si="4"/>
        <v>213440000</v>
      </c>
      <c r="J15" s="28" t="s">
        <v>15</v>
      </c>
      <c r="K15" s="3"/>
      <c r="L15" s="3"/>
      <c r="M15" s="3"/>
      <c r="N15" s="10">
        <f>D21</f>
        <v>0</v>
      </c>
      <c r="O15" s="10">
        <f>E21</f>
        <v>0</v>
      </c>
      <c r="P15" s="37" t="s">
        <v>37</v>
      </c>
      <c r="Q15" s="39">
        <f>F21</f>
        <v>23585182</v>
      </c>
    </row>
    <row r="16" spans="1:31" s="4" customFormat="1" ht="16.5" customHeight="1" x14ac:dyDescent="0.25">
      <c r="A16" s="21" t="s">
        <v>38</v>
      </c>
      <c r="B16" s="41" t="s">
        <v>55</v>
      </c>
      <c r="C16" s="23">
        <v>6334420</v>
      </c>
      <c r="D16" s="36"/>
      <c r="E16" s="36"/>
      <c r="F16" s="23">
        <f t="shared" si="3"/>
        <v>6334420</v>
      </c>
      <c r="G16" s="26"/>
      <c r="H16" s="31"/>
      <c r="I16" s="27">
        <f t="shared" si="4"/>
        <v>6334420</v>
      </c>
      <c r="J16" s="28" t="s">
        <v>15</v>
      </c>
      <c r="K16" s="3"/>
      <c r="L16" s="3"/>
      <c r="M16" s="3"/>
      <c r="N16" s="10">
        <f>D20</f>
        <v>0</v>
      </c>
      <c r="O16" s="10">
        <f>E20</f>
        <v>0</v>
      </c>
      <c r="P16" s="37" t="s">
        <v>40</v>
      </c>
      <c r="Q16" s="39">
        <f>F20</f>
        <v>38098686</v>
      </c>
    </row>
    <row r="17" spans="1:17" s="4" customFormat="1" ht="16.5" customHeight="1" x14ac:dyDescent="0.25">
      <c r="A17" s="21" t="s">
        <v>41</v>
      </c>
      <c r="B17" s="41" t="s">
        <v>57</v>
      </c>
      <c r="C17" s="23">
        <v>94815000</v>
      </c>
      <c r="D17" s="36">
        <v>98145000</v>
      </c>
      <c r="E17" s="36">
        <v>94815000</v>
      </c>
      <c r="F17" s="23">
        <f t="shared" si="3"/>
        <v>98145000</v>
      </c>
      <c r="G17" s="26"/>
      <c r="H17" s="31"/>
      <c r="I17" s="27">
        <f t="shared" si="4"/>
        <v>98145000</v>
      </c>
      <c r="J17" s="28" t="s">
        <v>15</v>
      </c>
      <c r="K17" s="3"/>
      <c r="L17" s="3"/>
      <c r="M17" s="3"/>
      <c r="N17" s="10">
        <f>D22</f>
        <v>0</v>
      </c>
      <c r="O17" s="10">
        <f>E22</f>
        <v>0</v>
      </c>
      <c r="P17" s="37" t="s">
        <v>43</v>
      </c>
      <c r="Q17" s="39">
        <f>F22</f>
        <v>27116</v>
      </c>
    </row>
    <row r="18" spans="1:17" s="4" customFormat="1" ht="16.5" customHeight="1" x14ac:dyDescent="0.25">
      <c r="A18" s="21" t="s">
        <v>44</v>
      </c>
      <c r="B18" s="41" t="s">
        <v>105</v>
      </c>
      <c r="C18" s="23">
        <v>56920500</v>
      </c>
      <c r="D18" s="36">
        <v>59845500</v>
      </c>
      <c r="E18" s="36">
        <v>56920500</v>
      </c>
      <c r="F18" s="23">
        <f t="shared" si="3"/>
        <v>59845500</v>
      </c>
      <c r="G18" s="26"/>
      <c r="H18" s="31"/>
      <c r="I18" s="27">
        <f t="shared" si="4"/>
        <v>59845500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59</v>
      </c>
      <c r="C19" s="23">
        <v>2484710</v>
      </c>
      <c r="D19" s="42"/>
      <c r="E19" s="36"/>
      <c r="F19" s="23">
        <f t="shared" si="3"/>
        <v>2484710</v>
      </c>
      <c r="G19" s="26"/>
      <c r="H19" s="31"/>
      <c r="I19" s="27">
        <f t="shared" si="4"/>
        <v>2484710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61</v>
      </c>
      <c r="C20" s="23">
        <v>38098686</v>
      </c>
      <c r="D20" s="43"/>
      <c r="E20" s="36"/>
      <c r="F20" s="23">
        <f>H20+I20</f>
        <v>38098686</v>
      </c>
      <c r="G20" s="26"/>
      <c r="H20" s="31"/>
      <c r="I20" s="27">
        <f>C20+D20-E20</f>
        <v>38098686</v>
      </c>
      <c r="J20" s="28" t="s">
        <v>15</v>
      </c>
      <c r="K20" s="3"/>
      <c r="L20" s="3"/>
      <c r="M20" s="3"/>
      <c r="N20" s="2">
        <f>SUM(D29:D38)</f>
        <v>245197000</v>
      </c>
      <c r="O20" s="40">
        <f>SUM(E29:E38)</f>
        <v>217719517</v>
      </c>
      <c r="P20" s="37" t="s">
        <v>28</v>
      </c>
      <c r="Q20" s="39">
        <f>SUM(F29:F38)</f>
        <v>505372090</v>
      </c>
    </row>
    <row r="21" spans="1:17" s="4" customFormat="1" ht="16.5" customHeight="1" x14ac:dyDescent="0.25">
      <c r="A21" s="21" t="s">
        <v>50</v>
      </c>
      <c r="B21" s="41" t="s">
        <v>63</v>
      </c>
      <c r="C21" s="23">
        <v>23585182</v>
      </c>
      <c r="D21" s="42"/>
      <c r="E21" s="36"/>
      <c r="F21" s="23">
        <f t="shared" si="3"/>
        <v>23585182</v>
      </c>
      <c r="G21" s="26"/>
      <c r="H21" s="31"/>
      <c r="I21" s="27">
        <f t="shared" si="4"/>
        <v>23585182</v>
      </c>
      <c r="J21" s="28" t="s">
        <v>15</v>
      </c>
      <c r="K21" s="3"/>
      <c r="L21" s="3"/>
      <c r="M21" s="3"/>
    </row>
    <row r="22" spans="1:17" s="4" customFormat="1" ht="16.5" customHeight="1" x14ac:dyDescent="0.25">
      <c r="A22" s="21" t="s">
        <v>52</v>
      </c>
      <c r="B22" s="41" t="s">
        <v>65</v>
      </c>
      <c r="C22" s="23">
        <v>27116</v>
      </c>
      <c r="D22" s="42"/>
      <c r="E22" s="43"/>
      <c r="F22" s="23">
        <f t="shared" si="3"/>
        <v>27116</v>
      </c>
      <c r="G22" s="26"/>
      <c r="H22" s="31"/>
      <c r="I22" s="27">
        <f t="shared" si="4"/>
        <v>27116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67</v>
      </c>
      <c r="C23" s="23">
        <v>0</v>
      </c>
      <c r="D23" s="42"/>
      <c r="E23" s="43"/>
      <c r="F23" s="23">
        <f t="shared" si="3"/>
        <v>0</v>
      </c>
      <c r="G23" s="26"/>
      <c r="H23" s="31"/>
      <c r="I23" s="27">
        <f t="shared" si="4"/>
        <v>0</v>
      </c>
      <c r="J23" s="28" t="s">
        <v>15</v>
      </c>
      <c r="K23" s="3"/>
      <c r="L23" s="3"/>
      <c r="M23" s="3"/>
    </row>
    <row r="24" spans="1:17" s="4" customFormat="1" ht="16.5" customHeight="1" x14ac:dyDescent="0.25">
      <c r="A24" s="21" t="s">
        <v>56</v>
      </c>
      <c r="B24" s="41" t="s">
        <v>69</v>
      </c>
      <c r="C24" s="23">
        <v>872587</v>
      </c>
      <c r="D24" s="44"/>
      <c r="E24" s="45"/>
      <c r="F24" s="23">
        <f>H24+I24</f>
        <v>872587</v>
      </c>
      <c r="G24" s="26"/>
      <c r="H24" s="31"/>
      <c r="I24" s="27">
        <f t="shared" si="4"/>
        <v>872587</v>
      </c>
      <c r="J24" s="28" t="s">
        <v>15</v>
      </c>
    </row>
    <row r="25" spans="1:17" s="4" customFormat="1" ht="16.5" hidden="1" customHeight="1" x14ac:dyDescent="0.25">
      <c r="A25" s="21" t="s">
        <v>58</v>
      </c>
      <c r="B25" s="41" t="s">
        <v>113</v>
      </c>
      <c r="C25" s="23">
        <v>0</v>
      </c>
      <c r="D25" s="44"/>
      <c r="E25" s="45"/>
      <c r="F25" s="23">
        <f t="shared" si="3"/>
        <v>0</v>
      </c>
      <c r="G25" s="26"/>
      <c r="H25" s="31"/>
      <c r="I25" s="27">
        <f t="shared" si="4"/>
        <v>0</v>
      </c>
      <c r="J25" s="28" t="s">
        <v>15</v>
      </c>
    </row>
    <row r="26" spans="1:17" s="4" customFormat="1" ht="16.5" hidden="1" customHeight="1" x14ac:dyDescent="0.25">
      <c r="A26" s="21" t="s">
        <v>60</v>
      </c>
      <c r="B26" s="41" t="s">
        <v>114</v>
      </c>
      <c r="C26" s="23">
        <v>0</v>
      </c>
      <c r="D26" s="42"/>
      <c r="E26" s="36"/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  <c r="K26" s="3"/>
      <c r="L26" s="3"/>
      <c r="M26" s="3"/>
    </row>
    <row r="27" spans="1:17" s="4" customFormat="1" hidden="1" x14ac:dyDescent="0.25">
      <c r="A27" s="46" t="s">
        <v>64</v>
      </c>
      <c r="B27" s="41" t="s">
        <v>73</v>
      </c>
      <c r="C27" s="23">
        <v>0</v>
      </c>
      <c r="D27" s="42"/>
      <c r="E27" s="43"/>
      <c r="F27" s="23">
        <f t="shared" si="3"/>
        <v>0</v>
      </c>
      <c r="G27" s="26"/>
      <c r="H27" s="31"/>
      <c r="I27" s="27">
        <f t="shared" si="4"/>
        <v>0</v>
      </c>
      <c r="J27" s="28" t="s">
        <v>15</v>
      </c>
    </row>
    <row r="28" spans="1:17" s="50" customFormat="1" ht="16.5" customHeight="1" x14ac:dyDescent="0.25">
      <c r="A28" s="120"/>
      <c r="B28" s="48" t="s">
        <v>101</v>
      </c>
      <c r="C28" s="33">
        <f>SUM(C29:C41)</f>
        <v>484547949</v>
      </c>
      <c r="D28" s="33">
        <f>SUM(D29:D41)</f>
        <v>251846500</v>
      </c>
      <c r="E28" s="33">
        <f>SUM(E29:E41)</f>
        <v>220924997</v>
      </c>
      <c r="F28" s="33">
        <f>SUM(F29:F41)</f>
        <v>515469452</v>
      </c>
      <c r="G28" s="33"/>
      <c r="H28" s="33"/>
      <c r="I28" s="33">
        <f>SUM(I29:I41)</f>
        <v>515469452</v>
      </c>
      <c r="J28" s="49"/>
      <c r="N28" s="56">
        <f>3000000+3186400+3468460+193000</f>
        <v>9847860</v>
      </c>
    </row>
    <row r="29" spans="1:17" s="55" customFormat="1" ht="16.5" customHeight="1" x14ac:dyDescent="0.25">
      <c r="A29" s="111" t="s">
        <v>62</v>
      </c>
      <c r="B29" s="52" t="s">
        <v>27</v>
      </c>
      <c r="C29" s="23">
        <v>20250000</v>
      </c>
      <c r="D29" s="114"/>
      <c r="E29" s="45"/>
      <c r="F29" s="23">
        <f>H29+I29</f>
        <v>20250000</v>
      </c>
      <c r="G29" s="26"/>
      <c r="H29" s="45"/>
      <c r="I29" s="54">
        <f>C29+D29-E29</f>
        <v>20250000</v>
      </c>
      <c r="J29" s="28" t="s">
        <v>15</v>
      </c>
      <c r="N29" s="105" t="s">
        <v>96</v>
      </c>
      <c r="O29" s="104">
        <v>328842</v>
      </c>
    </row>
    <row r="30" spans="1:17" s="55" customFormat="1" ht="16.5" customHeight="1" x14ac:dyDescent="0.25">
      <c r="A30" s="111" t="s">
        <v>64</v>
      </c>
      <c r="B30" s="52" t="s">
        <v>30</v>
      </c>
      <c r="C30" s="23">
        <v>117365942</v>
      </c>
      <c r="D30" s="114">
        <v>77282000</v>
      </c>
      <c r="E30" s="45">
        <f>17012757+70005420</f>
        <v>87018177</v>
      </c>
      <c r="F30" s="23">
        <f t="shared" ref="F30:F41" si="5">H30+I30</f>
        <v>107629765</v>
      </c>
      <c r="G30" s="26"/>
      <c r="H30" s="45"/>
      <c r="I30" s="54">
        <f t="shared" ref="I30:I41" si="6">C30+D30-E30</f>
        <v>107629765</v>
      </c>
      <c r="J30" s="28" t="s">
        <v>15</v>
      </c>
      <c r="N30" s="56" t="s">
        <v>94</v>
      </c>
      <c r="O30" s="56">
        <f>O29*40%</f>
        <v>131536.80000000002</v>
      </c>
    </row>
    <row r="31" spans="1:17" s="55" customFormat="1" ht="16.5" customHeight="1" x14ac:dyDescent="0.25">
      <c r="A31" s="111" t="s">
        <v>66</v>
      </c>
      <c r="B31" s="52" t="s">
        <v>33</v>
      </c>
      <c r="C31" s="23">
        <v>23460068</v>
      </c>
      <c r="D31" s="114">
        <v>18900000</v>
      </c>
      <c r="E31" s="45">
        <f>18207700</f>
        <v>18207700</v>
      </c>
      <c r="F31" s="23">
        <f t="shared" si="5"/>
        <v>24152368</v>
      </c>
      <c r="G31" s="26"/>
      <c r="H31" s="45"/>
      <c r="I31" s="54">
        <f t="shared" si="6"/>
        <v>24152368</v>
      </c>
      <c r="J31" s="28" t="s">
        <v>15</v>
      </c>
      <c r="N31" s="56" t="s">
        <v>95</v>
      </c>
      <c r="O31" s="56">
        <f>O29*60%</f>
        <v>197305.19999999998</v>
      </c>
    </row>
    <row r="32" spans="1:17" s="4" customFormat="1" ht="16.5" customHeight="1" x14ac:dyDescent="0.25">
      <c r="A32" s="111" t="s">
        <v>68</v>
      </c>
      <c r="B32" s="41" t="s">
        <v>36</v>
      </c>
      <c r="C32" s="23">
        <v>32902734</v>
      </c>
      <c r="D32" s="115">
        <v>27260000</v>
      </c>
      <c r="E32" s="36">
        <f>27089920+1646400</f>
        <v>28736320</v>
      </c>
      <c r="F32" s="23">
        <f t="shared" si="3"/>
        <v>31426414</v>
      </c>
      <c r="G32" s="26"/>
      <c r="H32" s="31"/>
      <c r="I32" s="54">
        <f t="shared" si="6"/>
        <v>31426414</v>
      </c>
      <c r="J32" s="28" t="s">
        <v>15</v>
      </c>
      <c r="N32" s="20"/>
      <c r="O32" s="20"/>
    </row>
    <row r="33" spans="1:23" s="4" customFormat="1" ht="16.5" customHeight="1" x14ac:dyDescent="0.25">
      <c r="A33" s="111" t="s">
        <v>70</v>
      </c>
      <c r="B33" s="41" t="s">
        <v>42</v>
      </c>
      <c r="C33" s="23">
        <v>28288874</v>
      </c>
      <c r="D33" s="115">
        <v>12880000</v>
      </c>
      <c r="E33" s="36">
        <v>7410000</v>
      </c>
      <c r="F33" s="23">
        <f t="shared" si="5"/>
        <v>33758874</v>
      </c>
      <c r="G33" s="26"/>
      <c r="H33" s="31"/>
      <c r="I33" s="54">
        <f t="shared" si="6"/>
        <v>33758874</v>
      </c>
      <c r="J33" s="28" t="s">
        <v>15</v>
      </c>
      <c r="N33" s="20"/>
      <c r="O33" s="20"/>
    </row>
    <row r="34" spans="1:23" s="4" customFormat="1" ht="16.5" customHeight="1" x14ac:dyDescent="0.25">
      <c r="A34" s="111" t="s">
        <v>75</v>
      </c>
      <c r="B34" s="41" t="s">
        <v>47</v>
      </c>
      <c r="C34" s="23">
        <v>45971448</v>
      </c>
      <c r="D34" s="115"/>
      <c r="E34" s="36"/>
      <c r="F34" s="23">
        <f t="shared" si="5"/>
        <v>45971448</v>
      </c>
      <c r="G34" s="26"/>
      <c r="H34" s="31"/>
      <c r="I34" s="54">
        <f t="shared" si="6"/>
        <v>45971448</v>
      </c>
      <c r="J34" s="28" t="s">
        <v>15</v>
      </c>
      <c r="N34" s="20"/>
      <c r="O34" s="20"/>
    </row>
    <row r="35" spans="1:23" s="4" customFormat="1" ht="16.5" customHeight="1" x14ac:dyDescent="0.25">
      <c r="A35" s="111" t="s">
        <v>76</v>
      </c>
      <c r="B35" s="41" t="s">
        <v>49</v>
      </c>
      <c r="C35" s="23">
        <v>40974000</v>
      </c>
      <c r="D35" s="115">
        <v>25750000</v>
      </c>
      <c r="E35" s="36">
        <f>5690000+660000+5830000+6105000</f>
        <v>18285000</v>
      </c>
      <c r="F35" s="23">
        <f t="shared" si="5"/>
        <v>48439000</v>
      </c>
      <c r="G35" s="26"/>
      <c r="H35" s="31"/>
      <c r="I35" s="54">
        <f t="shared" si="6"/>
        <v>48439000</v>
      </c>
      <c r="J35" s="28" t="s">
        <v>15</v>
      </c>
      <c r="N35" s="20"/>
      <c r="O35" s="20"/>
    </row>
    <row r="36" spans="1:23" s="4" customFormat="1" ht="16.5" customHeight="1" x14ac:dyDescent="0.25">
      <c r="A36" s="111" t="s">
        <v>77</v>
      </c>
      <c r="B36" s="41" t="s">
        <v>51</v>
      </c>
      <c r="C36" s="23">
        <v>123087665</v>
      </c>
      <c r="D36" s="115">
        <v>53360000</v>
      </c>
      <c r="E36" s="36">
        <f>44000+22000+20245960+3920000+6295000+2689200</f>
        <v>33216160</v>
      </c>
      <c r="F36" s="23">
        <f>H36+I36</f>
        <v>143231505</v>
      </c>
      <c r="G36" s="26"/>
      <c r="H36" s="31"/>
      <c r="I36" s="54">
        <f>C36+D36-E36</f>
        <v>143231505</v>
      </c>
      <c r="J36" s="28" t="s">
        <v>15</v>
      </c>
      <c r="N36" s="20"/>
      <c r="O36" s="20"/>
    </row>
    <row r="37" spans="1:23" s="4" customFormat="1" ht="16.5" customHeight="1" x14ac:dyDescent="0.25">
      <c r="A37" s="111" t="s">
        <v>78</v>
      </c>
      <c r="B37" s="41" t="s">
        <v>53</v>
      </c>
      <c r="C37" s="23">
        <v>29406626</v>
      </c>
      <c r="D37" s="115">
        <v>18860000</v>
      </c>
      <c r="E37" s="36">
        <f>6719570+4846000+4190000</f>
        <v>15755570</v>
      </c>
      <c r="F37" s="23">
        <f t="shared" si="5"/>
        <v>32511056</v>
      </c>
      <c r="G37" s="26"/>
      <c r="H37" s="31"/>
      <c r="I37" s="54">
        <f t="shared" si="6"/>
        <v>32511056</v>
      </c>
      <c r="J37" s="28" t="s">
        <v>15</v>
      </c>
      <c r="N37" s="20"/>
      <c r="O37" s="20"/>
    </row>
    <row r="38" spans="1:23" s="4" customFormat="1" ht="16.5" customHeight="1" x14ac:dyDescent="0.25">
      <c r="A38" s="111" t="s">
        <v>97</v>
      </c>
      <c r="B38" s="41" t="s">
        <v>57</v>
      </c>
      <c r="C38" s="23">
        <v>16187250</v>
      </c>
      <c r="D38" s="115">
        <v>10905000</v>
      </c>
      <c r="E38" s="36">
        <f>3237290+5325000+528300</f>
        <v>9090590</v>
      </c>
      <c r="F38" s="23">
        <f t="shared" si="5"/>
        <v>18001660</v>
      </c>
      <c r="G38" s="26"/>
      <c r="H38" s="31"/>
      <c r="I38" s="54">
        <f t="shared" si="6"/>
        <v>18001660</v>
      </c>
      <c r="J38" s="28" t="s">
        <v>15</v>
      </c>
      <c r="N38" s="20"/>
      <c r="O38" s="20"/>
    </row>
    <row r="39" spans="1:23" s="4" customFormat="1" ht="16.5" customHeight="1" x14ac:dyDescent="0.25">
      <c r="A39" s="111" t="s">
        <v>98</v>
      </c>
      <c r="B39" s="41" t="s">
        <v>105</v>
      </c>
      <c r="C39" s="23">
        <v>6324500</v>
      </c>
      <c r="D39" s="115">
        <v>6649500</v>
      </c>
      <c r="E39" s="36">
        <f>2946000+259480</f>
        <v>3205480</v>
      </c>
      <c r="F39" s="23">
        <f t="shared" si="5"/>
        <v>9768520</v>
      </c>
      <c r="G39" s="26"/>
      <c r="H39" s="31"/>
      <c r="I39" s="54">
        <f t="shared" si="6"/>
        <v>9768520</v>
      </c>
      <c r="J39" s="28" t="s">
        <v>15</v>
      </c>
      <c r="N39" s="20"/>
      <c r="O39" s="20"/>
    </row>
    <row r="40" spans="1:23" s="4" customFormat="1" ht="16.5" customHeight="1" x14ac:dyDescent="0.25">
      <c r="A40" s="111" t="s">
        <v>106</v>
      </c>
      <c r="B40" s="41" t="s">
        <v>59</v>
      </c>
      <c r="C40" s="23">
        <v>197305</v>
      </c>
      <c r="D40" s="115"/>
      <c r="E40" s="36"/>
      <c r="F40" s="23">
        <f t="shared" si="5"/>
        <v>197305</v>
      </c>
      <c r="G40" s="26"/>
      <c r="H40" s="31"/>
      <c r="I40" s="54">
        <f t="shared" si="6"/>
        <v>197305</v>
      </c>
      <c r="J40" s="28" t="s">
        <v>15</v>
      </c>
      <c r="N40" s="108" t="s">
        <v>99</v>
      </c>
      <c r="O40" s="11">
        <f>F19+F40</f>
        <v>2682015</v>
      </c>
    </row>
    <row r="41" spans="1:23" s="4" customFormat="1" ht="16.5" customHeight="1" x14ac:dyDescent="0.25">
      <c r="A41" s="111" t="s">
        <v>107</v>
      </c>
      <c r="B41" s="41" t="s">
        <v>69</v>
      </c>
      <c r="C41" s="23">
        <v>131537</v>
      </c>
      <c r="D41" s="116"/>
      <c r="E41" s="43"/>
      <c r="F41" s="23">
        <f t="shared" si="5"/>
        <v>131537</v>
      </c>
      <c r="G41" s="26"/>
      <c r="H41" s="31"/>
      <c r="I41" s="54">
        <f t="shared" si="6"/>
        <v>131537</v>
      </c>
      <c r="J41" s="28" t="s">
        <v>15</v>
      </c>
      <c r="N41" s="108" t="s">
        <v>100</v>
      </c>
      <c r="O41" s="20">
        <f>F24+F41</f>
        <v>1004124</v>
      </c>
    </row>
    <row r="42" spans="1:23" s="4" customFormat="1" hidden="1" x14ac:dyDescent="0.25">
      <c r="A42" s="121"/>
      <c r="B42" s="32" t="s">
        <v>79</v>
      </c>
      <c r="C42" s="59">
        <v>0</v>
      </c>
      <c r="D42" s="59">
        <f t="shared" ref="D42:H42" si="7">D43</f>
        <v>0</v>
      </c>
      <c r="E42" s="59">
        <f t="shared" si="7"/>
        <v>0</v>
      </c>
      <c r="F42" s="59">
        <f>F43</f>
        <v>0</v>
      </c>
      <c r="G42" s="59">
        <f t="shared" si="7"/>
        <v>0</v>
      </c>
      <c r="H42" s="59">
        <f t="shared" si="7"/>
        <v>0</v>
      </c>
      <c r="I42" s="59">
        <f>I43</f>
        <v>0</v>
      </c>
      <c r="J42" s="60" t="s">
        <v>15</v>
      </c>
      <c r="K42" s="61"/>
      <c r="L42" s="61"/>
      <c r="M42" s="61"/>
    </row>
    <row r="43" spans="1:23" s="4" customFormat="1" hidden="1" x14ac:dyDescent="0.25">
      <c r="A43" s="21" t="s">
        <v>68</v>
      </c>
      <c r="B43" s="41" t="s">
        <v>80</v>
      </c>
      <c r="C43" s="62">
        <v>0</v>
      </c>
      <c r="D43" s="63"/>
      <c r="E43" s="45"/>
      <c r="F43" s="23">
        <f t="shared" si="3"/>
        <v>0</v>
      </c>
      <c r="G43" s="26"/>
      <c r="H43" s="31"/>
      <c r="I43" s="27">
        <f t="shared" si="4"/>
        <v>0</v>
      </c>
      <c r="J43" s="28" t="s">
        <v>15</v>
      </c>
      <c r="V43" s="64"/>
      <c r="W43" s="65"/>
    </row>
    <row r="44" spans="1:23" s="4" customFormat="1" hidden="1" x14ac:dyDescent="0.25">
      <c r="A44" s="21" t="s">
        <v>70</v>
      </c>
      <c r="B44" s="41"/>
      <c r="C44" s="62"/>
      <c r="D44" s="66"/>
      <c r="E44" s="45"/>
      <c r="F44" s="23"/>
      <c r="G44" s="26"/>
      <c r="H44" s="31"/>
      <c r="I44" s="27"/>
      <c r="J44" s="28"/>
      <c r="V44" s="67"/>
      <c r="W44" s="65"/>
    </row>
    <row r="45" spans="1:23" s="4" customFormat="1" hidden="1" x14ac:dyDescent="0.25">
      <c r="A45" s="21" t="s">
        <v>75</v>
      </c>
      <c r="B45" s="41" t="s">
        <v>81</v>
      </c>
      <c r="C45" s="23"/>
      <c r="D45" s="66"/>
      <c r="E45" s="68"/>
      <c r="F45" s="23">
        <f t="shared" si="3"/>
        <v>0</v>
      </c>
      <c r="G45" s="26"/>
      <c r="H45" s="31"/>
      <c r="I45" s="27">
        <f t="shared" si="4"/>
        <v>0</v>
      </c>
      <c r="J45" s="28" t="s">
        <v>82</v>
      </c>
      <c r="K45" s="69"/>
      <c r="L45" s="69"/>
      <c r="M45" s="69"/>
      <c r="N45" s="69"/>
      <c r="O45" s="69"/>
      <c r="V45" s="70"/>
      <c r="W45" s="65"/>
    </row>
    <row r="46" spans="1:23" s="4" customFormat="1" ht="16.5" customHeight="1" x14ac:dyDescent="0.25">
      <c r="A46" s="32"/>
      <c r="B46" s="48" t="s">
        <v>83</v>
      </c>
      <c r="C46" s="33">
        <f>(C6+C11+C28+C42+C45)</f>
        <v>10211900983</v>
      </c>
      <c r="D46" s="33">
        <f>(D6+D11+D28+D42+D45)</f>
        <v>1489153000</v>
      </c>
      <c r="E46" s="33">
        <f>(E6+E11+E28+E42+E45)</f>
        <v>1957880251</v>
      </c>
      <c r="F46" s="33">
        <f>(F6+F11+F28+F42+F45)</f>
        <v>9743173732</v>
      </c>
      <c r="G46" s="33"/>
      <c r="H46" s="33"/>
      <c r="I46" s="33">
        <f>(I6+I11+I28+I42+I45)</f>
        <v>9743173732</v>
      </c>
      <c r="J46" s="33"/>
      <c r="K46" s="3"/>
      <c r="L46" s="3"/>
      <c r="M46" s="3"/>
      <c r="N46" s="3"/>
      <c r="O46" s="3"/>
      <c r="V46" s="3"/>
      <c r="W46" s="71"/>
    </row>
    <row r="47" spans="1:23" s="4" customFormat="1" x14ac:dyDescent="0.25">
      <c r="A47" s="72"/>
      <c r="B47" s="73"/>
      <c r="C47" s="74"/>
      <c r="D47" s="74"/>
      <c r="E47" s="74"/>
      <c r="F47" s="74"/>
      <c r="G47" s="74"/>
      <c r="H47" s="74"/>
      <c r="I47" s="74"/>
      <c r="J47" s="74"/>
      <c r="K47" s="3"/>
      <c r="L47" s="3"/>
      <c r="M47" s="3"/>
      <c r="N47" s="3"/>
      <c r="O47" s="3"/>
      <c r="V47" s="3"/>
      <c r="W47" s="71"/>
    </row>
    <row r="48" spans="1:23" s="4" customFormat="1" x14ac:dyDescent="0.25">
      <c r="A48" s="113"/>
      <c r="B48" s="75"/>
      <c r="C48" s="75"/>
      <c r="D48" s="10"/>
      <c r="E48" s="10"/>
      <c r="F48" s="3"/>
      <c r="G48" s="3"/>
      <c r="H48" s="124" t="s">
        <v>109</v>
      </c>
      <c r="I48" s="124"/>
      <c r="J48" s="124"/>
      <c r="K48" s="3"/>
      <c r="L48" s="40" t="e">
        <f>#REF!-#REF!</f>
        <v>#REF!</v>
      </c>
      <c r="M48" s="3"/>
      <c r="N48" s="3"/>
      <c r="O48" s="3"/>
      <c r="V48" s="76"/>
      <c r="W48" s="77"/>
    </row>
    <row r="49" spans="1:23" s="4" customFormat="1" x14ac:dyDescent="0.25">
      <c r="A49" s="113"/>
      <c r="B49" s="113" t="s">
        <v>84</v>
      </c>
      <c r="C49" s="69"/>
      <c r="D49" s="112" t="s">
        <v>85</v>
      </c>
      <c r="E49" s="69"/>
      <c r="F49" s="113" t="s">
        <v>86</v>
      </c>
      <c r="G49" s="3"/>
      <c r="H49" s="125" t="s">
        <v>87</v>
      </c>
      <c r="I49" s="125"/>
      <c r="J49" s="125"/>
      <c r="K49" s="3"/>
      <c r="L49" s="3"/>
      <c r="M49" s="3"/>
      <c r="N49" s="3"/>
      <c r="O49" s="3"/>
      <c r="V49" s="76"/>
      <c r="W49" s="77"/>
    </row>
    <row r="50" spans="1:23" s="4" customFormat="1" x14ac:dyDescent="0.25">
      <c r="A50" s="3"/>
      <c r="B50" s="3"/>
      <c r="C50" s="3"/>
      <c r="D50" s="3"/>
      <c r="E50" s="3"/>
      <c r="F50" s="75"/>
      <c r="G50" s="10"/>
      <c r="H50" s="3"/>
      <c r="I50" s="3"/>
      <c r="J50" s="3"/>
      <c r="K50" s="3"/>
      <c r="L50" s="40"/>
      <c r="M50" s="3"/>
      <c r="N50" s="3"/>
      <c r="O50" s="3"/>
      <c r="V50" s="70"/>
      <c r="W50" s="79"/>
    </row>
    <row r="51" spans="1:23" s="4" customFormat="1" x14ac:dyDescent="0.25">
      <c r="A51" s="3"/>
      <c r="B51" s="3"/>
      <c r="C51" s="3"/>
      <c r="D51" s="3"/>
      <c r="E51" s="10"/>
      <c r="F51" s="75"/>
      <c r="G51" s="3"/>
      <c r="H51" s="3"/>
      <c r="I51" s="3"/>
      <c r="J51" s="3"/>
      <c r="K51" s="3"/>
      <c r="L51" s="40"/>
      <c r="M51" s="3"/>
      <c r="N51" s="3"/>
      <c r="O51" s="3"/>
      <c r="Q51" s="11"/>
      <c r="V51" s="70"/>
      <c r="W51" s="79"/>
    </row>
    <row r="52" spans="1:23" s="4" customFormat="1" x14ac:dyDescent="0.25">
      <c r="A52" s="3"/>
      <c r="B52" s="3"/>
      <c r="C52" s="3"/>
      <c r="D52" s="3"/>
      <c r="E52" s="3"/>
      <c r="F52" s="75"/>
      <c r="G52" s="10"/>
      <c r="H52" s="3"/>
      <c r="I52" s="3"/>
      <c r="J52" s="3"/>
      <c r="K52" s="3"/>
      <c r="L52" s="40"/>
      <c r="M52" s="3"/>
      <c r="N52" s="3"/>
      <c r="O52" s="3"/>
      <c r="V52" s="70"/>
      <c r="W52" s="79"/>
    </row>
    <row r="53" spans="1:23" s="4" customFormat="1" x14ac:dyDescent="0.25">
      <c r="A53" s="3"/>
      <c r="B53" s="113" t="s">
        <v>88</v>
      </c>
      <c r="C53" s="3"/>
      <c r="D53" s="113" t="s">
        <v>89</v>
      </c>
      <c r="E53" s="3"/>
      <c r="F53" s="113" t="s">
        <v>90</v>
      </c>
      <c r="G53" s="69"/>
      <c r="H53" s="126" t="s">
        <v>91</v>
      </c>
      <c r="I53" s="126"/>
      <c r="J53" s="126"/>
      <c r="K53" s="3"/>
      <c r="L53" s="3"/>
      <c r="M53" s="3"/>
      <c r="N53" s="3"/>
      <c r="O53" s="3"/>
      <c r="V53" s="70"/>
      <c r="W53" s="79"/>
    </row>
    <row r="54" spans="1:23" x14ac:dyDescent="0.25">
      <c r="A54" s="80"/>
      <c r="B54" s="81"/>
      <c r="C54" s="80"/>
      <c r="D54" s="80"/>
      <c r="E54" s="80"/>
      <c r="F54" s="82"/>
      <c r="G54" s="83"/>
      <c r="H54" s="84"/>
      <c r="I54" s="84"/>
      <c r="J54" s="84"/>
      <c r="K54" s="80"/>
      <c r="L54" s="80"/>
      <c r="M54" s="80"/>
      <c r="N54" s="80"/>
      <c r="O54" s="80"/>
      <c r="V54" s="3"/>
      <c r="W54" s="85"/>
    </row>
    <row r="55" spans="1:23" ht="17.25" x14ac:dyDescent="0.3">
      <c r="A55" s="80"/>
      <c r="F55" s="86"/>
      <c r="G55" s="80"/>
      <c r="H55" s="80"/>
      <c r="I55" s="87"/>
      <c r="J55" s="80"/>
      <c r="K55" s="80"/>
      <c r="L55" s="80"/>
      <c r="M55" s="80"/>
      <c r="N55" s="80"/>
      <c r="O55" s="80"/>
      <c r="V55" s="88"/>
      <c r="W55" s="89"/>
    </row>
    <row r="56" spans="1:23" ht="17.25" x14ac:dyDescent="0.3">
      <c r="V56" s="90"/>
      <c r="W56" s="89"/>
    </row>
    <row r="57" spans="1:23" ht="17.25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1"/>
      <c r="W57" s="92"/>
    </row>
    <row r="58" spans="1:23" ht="17.25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3"/>
      <c r="W58" s="94"/>
    </row>
    <row r="59" spans="1:23" x14ac:dyDescent="0.25">
      <c r="A59" s="80"/>
      <c r="F59" s="80"/>
      <c r="G59" s="80"/>
      <c r="H59" s="80"/>
      <c r="I59" s="87"/>
      <c r="J59" s="80"/>
      <c r="K59" s="80"/>
      <c r="L59" s="80"/>
      <c r="M59" s="80"/>
      <c r="N59" s="80"/>
      <c r="O59" s="80"/>
      <c r="V59" s="95"/>
      <c r="W59" s="95"/>
    </row>
    <row r="60" spans="1:23" x14ac:dyDescent="0.25">
      <c r="A60" s="80"/>
      <c r="F60" s="80"/>
      <c r="G60" s="80"/>
      <c r="H60" s="80"/>
      <c r="I60" s="87"/>
      <c r="J60" s="80"/>
      <c r="K60" s="80"/>
      <c r="L60" s="80"/>
      <c r="M60" s="80"/>
      <c r="N60" s="80"/>
      <c r="O60" s="80"/>
      <c r="V60" s="95"/>
      <c r="W60" s="95"/>
    </row>
    <row r="61" spans="1:23" ht="15.75" x14ac:dyDescent="0.3">
      <c r="A61" s="96"/>
      <c r="F61" s="96"/>
      <c r="G61" s="96"/>
      <c r="H61" s="96"/>
      <c r="I61" s="97"/>
      <c r="J61" s="96"/>
      <c r="V61" s="95"/>
      <c r="W61" s="95"/>
    </row>
    <row r="62" spans="1:23" ht="15.75" x14ac:dyDescent="0.3">
      <c r="A62" s="96"/>
      <c r="F62" s="96"/>
      <c r="G62" s="96"/>
      <c r="H62" s="96"/>
      <c r="I62" s="96"/>
      <c r="J62" s="96"/>
      <c r="V62" s="95"/>
      <c r="W62" s="95"/>
    </row>
    <row r="63" spans="1:23" ht="15.75" x14ac:dyDescent="0.3">
      <c r="A63" s="96"/>
      <c r="F63" s="98"/>
      <c r="G63" s="98"/>
      <c r="H63" s="96"/>
      <c r="I63" s="96"/>
      <c r="J63" s="96"/>
      <c r="V63" s="95"/>
      <c r="W63" s="95"/>
    </row>
    <row r="64" spans="1:23" ht="15.75" x14ac:dyDescent="0.3">
      <c r="A64" s="96"/>
      <c r="F64" s="98"/>
      <c r="G64" s="98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6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6"/>
      <c r="I68" s="96"/>
      <c r="J68" s="96"/>
      <c r="V68" s="95"/>
      <c r="W68" s="95"/>
    </row>
    <row r="69" spans="1:23" ht="15.75" x14ac:dyDescent="0.3">
      <c r="A69" s="96"/>
      <c r="F69" s="96"/>
      <c r="G69" s="96"/>
      <c r="H69" s="97"/>
      <c r="I69" s="96"/>
      <c r="J69" s="96"/>
      <c r="V69" s="95"/>
      <c r="W69" s="95"/>
    </row>
    <row r="70" spans="1:23" ht="15.75" x14ac:dyDescent="0.3">
      <c r="A70" s="96"/>
      <c r="F70" s="96"/>
      <c r="G70" s="96"/>
      <c r="H70" s="98"/>
      <c r="I70" s="96"/>
      <c r="J70" s="96"/>
      <c r="V70" s="95"/>
      <c r="W70" s="95"/>
    </row>
    <row r="71" spans="1:23" ht="15.75" x14ac:dyDescent="0.3">
      <c r="A71" s="96"/>
      <c r="F71" s="99"/>
      <c r="G71" s="99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  <c r="V78" s="95"/>
      <c r="W78" s="95"/>
    </row>
    <row r="79" spans="1:23" ht="15.75" x14ac:dyDescent="0.3">
      <c r="A79" s="96"/>
      <c r="F79" s="96"/>
      <c r="G79" s="96"/>
      <c r="H79" s="96"/>
      <c r="I79" s="96"/>
      <c r="J79" s="96"/>
      <c r="V79" s="95"/>
      <c r="W79" s="95"/>
    </row>
    <row r="80" spans="1:23" ht="15.75" x14ac:dyDescent="0.3">
      <c r="A80" s="96"/>
      <c r="F80" s="96"/>
      <c r="G80" s="96"/>
      <c r="H80" s="96"/>
      <c r="I80" s="96"/>
      <c r="J80" s="96"/>
    </row>
    <row r="81" spans="1:15" ht="15.75" customHeight="1" x14ac:dyDescent="0.35">
      <c r="A81" s="100"/>
      <c r="F81" s="101"/>
      <c r="G81" s="101"/>
      <c r="H81" s="100"/>
      <c r="I81" s="100"/>
      <c r="J81" s="100"/>
      <c r="K81" s="100"/>
      <c r="L81" s="100"/>
      <c r="M81" s="100"/>
      <c r="N81" s="100"/>
      <c r="O81" s="100"/>
    </row>
    <row r="83" spans="1:15" x14ac:dyDescent="0.25">
      <c r="C83" s="102"/>
      <c r="D83" s="102"/>
      <c r="E83" s="103"/>
    </row>
    <row r="84" spans="1:15" x14ac:dyDescent="0.25">
      <c r="C84" s="102"/>
      <c r="D84" s="102"/>
    </row>
    <row r="85" spans="1:15" x14ac:dyDescent="0.25">
      <c r="C85" s="102"/>
      <c r="D85" s="102"/>
    </row>
    <row r="86" spans="1:15" x14ac:dyDescent="0.25">
      <c r="C86" s="102"/>
      <c r="D86" s="102"/>
    </row>
    <row r="87" spans="1:15" x14ac:dyDescent="0.25">
      <c r="C87" s="102"/>
      <c r="D87" s="102"/>
    </row>
    <row r="88" spans="1:15" x14ac:dyDescent="0.25">
      <c r="C88" s="102"/>
      <c r="D88" s="102"/>
    </row>
    <row r="89" spans="1:15" x14ac:dyDescent="0.25">
      <c r="C89" s="102"/>
      <c r="D89" s="102"/>
    </row>
    <row r="90" spans="1:15" x14ac:dyDescent="0.25">
      <c r="C90" s="102"/>
      <c r="D90" s="102"/>
    </row>
    <row r="91" spans="1:15" x14ac:dyDescent="0.25">
      <c r="C91" s="102"/>
      <c r="D91" s="102"/>
    </row>
    <row r="92" spans="1:15" x14ac:dyDescent="0.25">
      <c r="C92" s="102"/>
      <c r="D92" s="102"/>
    </row>
    <row r="93" spans="1:15" x14ac:dyDescent="0.25">
      <c r="C93" s="102"/>
      <c r="D93" s="102"/>
    </row>
    <row r="94" spans="1:15" x14ac:dyDescent="0.25">
      <c r="C94" s="102"/>
      <c r="D94" s="102"/>
    </row>
    <row r="95" spans="1:15" x14ac:dyDescent="0.25">
      <c r="C95" s="102"/>
      <c r="D95" s="102"/>
    </row>
    <row r="96" spans="1:1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  <row r="101" spans="3:4" x14ac:dyDescent="0.25">
      <c r="C101" s="102"/>
      <c r="D101" s="102"/>
    </row>
    <row r="102" spans="3:4" x14ac:dyDescent="0.25">
      <c r="C102" s="102"/>
      <c r="D102" s="102"/>
    </row>
  </sheetData>
  <mergeCells count="13">
    <mergeCell ref="H48:J48"/>
    <mergeCell ref="H49:J49"/>
    <mergeCell ref="H53:J53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45" right="0.45" top="0.5" bottom="0.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opLeftCell="A17" workbookViewId="0">
      <selection activeCell="N19" sqref="N19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7.140625" customWidth="1"/>
    <col min="6" max="6" width="14.42578125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112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118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7782199516</v>
      </c>
      <c r="D6" s="16">
        <f t="shared" ref="D6:H6" si="0">SUM(D7:D10)</f>
        <v>0</v>
      </c>
      <c r="E6" s="16">
        <f>SUM(E7:E10)</f>
        <v>1407817771</v>
      </c>
      <c r="F6" s="16">
        <f>SUM(F7:F9)</f>
        <v>6374381745</v>
      </c>
      <c r="G6" s="16">
        <f t="shared" si="0"/>
        <v>0</v>
      </c>
      <c r="H6" s="16">
        <f t="shared" si="0"/>
        <v>0</v>
      </c>
      <c r="I6" s="16">
        <f>SUM(I7:I9)</f>
        <v>6374381745</v>
      </c>
      <c r="J6" s="17" t="s">
        <v>15</v>
      </c>
      <c r="K6" s="18"/>
      <c r="L6" s="19"/>
      <c r="M6" s="19"/>
      <c r="N6" s="10">
        <f>F7+F9</f>
        <v>4161142287</v>
      </c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4542114621</v>
      </c>
      <c r="D7" s="119"/>
      <c r="E7" s="25">
        <f>338725131+324498+700181+5181802+7590000+330000+20000000+7480000+2640000+660000+85478797+5342425+1744500+1535000+3240000</f>
        <v>480972334</v>
      </c>
      <c r="F7" s="23">
        <f>H7+I7</f>
        <v>4061142287</v>
      </c>
      <c r="G7" s="26"/>
      <c r="H7" s="27"/>
      <c r="I7" s="27">
        <f>C7+D7-E7+G7</f>
        <v>4061142287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3140084895</v>
      </c>
      <c r="D8" s="119"/>
      <c r="E8" s="25">
        <f>269097895+657747542</f>
        <v>926845437</v>
      </c>
      <c r="F8" s="23">
        <f t="shared" ref="F8" si="1">H8+I8</f>
        <v>2213239458</v>
      </c>
      <c r="G8" s="26"/>
      <c r="H8" s="27"/>
      <c r="I8" s="27">
        <f>C8+D8-E8+G8</f>
        <v>2213239458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100000000</v>
      </c>
      <c r="D9" s="119"/>
      <c r="E9" s="25"/>
      <c r="F9" s="23">
        <f>H9+I9</f>
        <v>100000000</v>
      </c>
      <c r="G9" s="26"/>
      <c r="H9" s="27"/>
      <c r="I9" s="27">
        <f>C9+D9-E9+G9</f>
        <v>100000000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102</v>
      </c>
      <c r="C11" s="16">
        <f>SUM(C12:C27)</f>
        <v>1445504764</v>
      </c>
      <c r="D11" s="16">
        <f>SUM(D12:D27)</f>
        <v>1136116000</v>
      </c>
      <c r="E11" s="33">
        <f t="shared" ref="E11:H11" si="2">SUM(E12:E27)</f>
        <v>1243703600</v>
      </c>
      <c r="F11" s="16">
        <f t="shared" si="2"/>
        <v>1337917164</v>
      </c>
      <c r="G11" s="16">
        <f t="shared" si="2"/>
        <v>0</v>
      </c>
      <c r="H11" s="16">
        <f t="shared" si="2"/>
        <v>0</v>
      </c>
      <c r="I11" s="16">
        <f>SUM(I12:I27)</f>
        <v>1337917164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54520000</v>
      </c>
      <c r="D12" s="36">
        <v>55000000</v>
      </c>
      <c r="E12" s="36">
        <v>54520000</v>
      </c>
      <c r="F12" s="23">
        <f t="shared" ref="F12:F45" si="3">H12+I12</f>
        <v>55000000</v>
      </c>
      <c r="G12" s="26"/>
      <c r="H12" s="31"/>
      <c r="I12" s="27">
        <f t="shared" ref="I12:I45" si="4">C12+D12-E12</f>
        <v>55000000</v>
      </c>
      <c r="J12" s="28" t="s">
        <v>15</v>
      </c>
      <c r="K12" s="10"/>
      <c r="L12" s="40"/>
      <c r="M12" s="40"/>
      <c r="N12" s="10">
        <f>D12+D13+D14+D15+D16+D17+D18+D24+D25+D26+D27</f>
        <v>1136116000</v>
      </c>
      <c r="O12" s="10">
        <f>E12+E13+E14+E15+E16+E17+E18+E24+E25+E26+E27</f>
        <v>1242503600</v>
      </c>
      <c r="P12" s="37" t="s">
        <v>28</v>
      </c>
      <c r="Q12" s="10">
        <f>F12+F13+F14+F15+F16+F17+F18+F24+F25+F26</f>
        <v>1274921470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114819863</v>
      </c>
      <c r="D13" s="36"/>
      <c r="E13" s="36">
        <f>4752000</f>
        <v>4752000</v>
      </c>
      <c r="F13" s="23">
        <f t="shared" si="3"/>
        <v>110067863</v>
      </c>
      <c r="G13" s="26"/>
      <c r="H13" s="31"/>
      <c r="I13" s="27">
        <f t="shared" si="4"/>
        <v>110067863</v>
      </c>
      <c r="J13" s="28" t="s">
        <v>15</v>
      </c>
      <c r="K13" s="3"/>
      <c r="L13" s="40">
        <f>SUM(D11:D45)</f>
        <v>2779520000</v>
      </c>
      <c r="M13" s="40">
        <f>SUM(E11:E45)</f>
        <v>2918795198</v>
      </c>
      <c r="N13" s="10">
        <f>D19</f>
        <v>0</v>
      </c>
      <c r="O13" s="10">
        <f>E19</f>
        <v>0</v>
      </c>
      <c r="P13" s="37" t="s">
        <v>31</v>
      </c>
      <c r="Q13" s="39">
        <f>F19</f>
        <v>2484710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833331700</v>
      </c>
      <c r="D14" s="36">
        <v>709212000</v>
      </c>
      <c r="E14" s="36">
        <f>797307500+14493600</f>
        <v>811801100</v>
      </c>
      <c r="F14" s="23">
        <f t="shared" si="3"/>
        <v>730742600</v>
      </c>
      <c r="G14" s="26"/>
      <c r="H14" s="31"/>
      <c r="I14" s="27">
        <f t="shared" si="4"/>
        <v>730742600</v>
      </c>
      <c r="J14" s="28" t="s">
        <v>15</v>
      </c>
      <c r="K14" s="3"/>
      <c r="L14" s="40"/>
      <c r="M14" s="3"/>
      <c r="N14" s="10">
        <f>D23</f>
        <v>0</v>
      </c>
      <c r="O14" s="10">
        <f>E23</f>
        <v>0</v>
      </c>
      <c r="P14" s="37" t="s">
        <v>34</v>
      </c>
      <c r="Q14" s="39">
        <f>F23</f>
        <v>0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213440000</v>
      </c>
      <c r="D15" s="36">
        <v>214720000</v>
      </c>
      <c r="E15" s="36">
        <v>213440000</v>
      </c>
      <c r="F15" s="23">
        <f>H15+I15</f>
        <v>214720000</v>
      </c>
      <c r="G15" s="26"/>
      <c r="H15" s="31"/>
      <c r="I15" s="27">
        <f t="shared" si="4"/>
        <v>214720000</v>
      </c>
      <c r="J15" s="28" t="s">
        <v>15</v>
      </c>
      <c r="K15" s="3"/>
      <c r="L15" s="3"/>
      <c r="M15" s="3"/>
      <c r="N15" s="10">
        <f>D21</f>
        <v>0</v>
      </c>
      <c r="O15" s="10">
        <f>E21</f>
        <v>0</v>
      </c>
      <c r="P15" s="37" t="s">
        <v>37</v>
      </c>
      <c r="Q15" s="39">
        <f>F21</f>
        <v>23585182</v>
      </c>
    </row>
    <row r="16" spans="1:31" s="4" customFormat="1" ht="16.5" customHeight="1" x14ac:dyDescent="0.25">
      <c r="A16" s="21" t="s">
        <v>38</v>
      </c>
      <c r="B16" s="41" t="s">
        <v>55</v>
      </c>
      <c r="C16" s="23">
        <v>6334420</v>
      </c>
      <c r="D16" s="36">
        <v>8000</v>
      </c>
      <c r="E16" s="36"/>
      <c r="F16" s="23">
        <f t="shared" si="3"/>
        <v>6342420</v>
      </c>
      <c r="G16" s="26"/>
      <c r="H16" s="31"/>
      <c r="I16" s="27">
        <f t="shared" si="4"/>
        <v>6342420</v>
      </c>
      <c r="J16" s="28" t="s">
        <v>15</v>
      </c>
      <c r="K16" s="3"/>
      <c r="L16" s="3"/>
      <c r="M16" s="3"/>
      <c r="N16" s="10">
        <f>D20</f>
        <v>0</v>
      </c>
      <c r="O16" s="10">
        <f>E20</f>
        <v>1200000</v>
      </c>
      <c r="P16" s="37" t="s">
        <v>40</v>
      </c>
      <c r="Q16" s="39">
        <f>F20</f>
        <v>36898686</v>
      </c>
    </row>
    <row r="17" spans="1:17" s="4" customFormat="1" ht="16.5" customHeight="1" x14ac:dyDescent="0.25">
      <c r="A17" s="21" t="s">
        <v>41</v>
      </c>
      <c r="B17" s="41" t="s">
        <v>57</v>
      </c>
      <c r="C17" s="23">
        <v>98145000</v>
      </c>
      <c r="D17" s="36">
        <v>96570000</v>
      </c>
      <c r="E17" s="36">
        <v>98145000</v>
      </c>
      <c r="F17" s="23">
        <f t="shared" si="3"/>
        <v>96570000</v>
      </c>
      <c r="G17" s="26"/>
      <c r="H17" s="31"/>
      <c r="I17" s="27">
        <f t="shared" si="4"/>
        <v>96570000</v>
      </c>
      <c r="J17" s="28" t="s">
        <v>15</v>
      </c>
      <c r="K17" s="3"/>
      <c r="L17" s="3"/>
      <c r="M17" s="3"/>
      <c r="N17" s="10">
        <f>D22</f>
        <v>0</v>
      </c>
      <c r="O17" s="10">
        <f>E22</f>
        <v>0</v>
      </c>
      <c r="P17" s="37" t="s">
        <v>43</v>
      </c>
      <c r="Q17" s="39">
        <f>F22</f>
        <v>27116</v>
      </c>
    </row>
    <row r="18" spans="1:17" s="4" customFormat="1" ht="16.5" customHeight="1" x14ac:dyDescent="0.25">
      <c r="A18" s="21" t="s">
        <v>44</v>
      </c>
      <c r="B18" s="41" t="s">
        <v>105</v>
      </c>
      <c r="C18" s="23">
        <v>59845500</v>
      </c>
      <c r="D18" s="36">
        <v>60606000</v>
      </c>
      <c r="E18" s="36">
        <v>59845500</v>
      </c>
      <c r="F18" s="23">
        <f t="shared" si="3"/>
        <v>60606000</v>
      </c>
      <c r="G18" s="26"/>
      <c r="H18" s="31"/>
      <c r="I18" s="27">
        <f t="shared" si="4"/>
        <v>60606000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59</v>
      </c>
      <c r="C19" s="23">
        <v>2484710</v>
      </c>
      <c r="D19" s="42"/>
      <c r="E19" s="36"/>
      <c r="F19" s="23">
        <f t="shared" si="3"/>
        <v>2484710</v>
      </c>
      <c r="G19" s="26"/>
      <c r="H19" s="31"/>
      <c r="I19" s="27">
        <f t="shared" si="4"/>
        <v>2484710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61</v>
      </c>
      <c r="C20" s="23">
        <v>38098686</v>
      </c>
      <c r="D20" s="43"/>
      <c r="E20" s="36">
        <v>1200000</v>
      </c>
      <c r="F20" s="23">
        <f>H20+I20</f>
        <v>36898686</v>
      </c>
      <c r="G20" s="26"/>
      <c r="H20" s="31"/>
      <c r="I20" s="27">
        <f>C20+D20-E20</f>
        <v>36898686</v>
      </c>
      <c r="J20" s="28" t="s">
        <v>15</v>
      </c>
      <c r="K20" s="3"/>
      <c r="L20" s="3"/>
      <c r="M20" s="3"/>
      <c r="N20" s="2">
        <f>SUM(D29:D38)</f>
        <v>246910000</v>
      </c>
      <c r="O20" s="40">
        <f>SUM(E29:E38)</f>
        <v>212447999</v>
      </c>
      <c r="P20" s="37" t="s">
        <v>28</v>
      </c>
      <c r="Q20" s="39">
        <f>SUM(F29:F38)</f>
        <v>539834091</v>
      </c>
    </row>
    <row r="21" spans="1:17" s="4" customFormat="1" ht="16.5" customHeight="1" x14ac:dyDescent="0.25">
      <c r="A21" s="21" t="s">
        <v>50</v>
      </c>
      <c r="B21" s="41" t="s">
        <v>63</v>
      </c>
      <c r="C21" s="23">
        <v>23585182</v>
      </c>
      <c r="D21" s="42"/>
      <c r="E21" s="36"/>
      <c r="F21" s="23">
        <f t="shared" si="3"/>
        <v>23585182</v>
      </c>
      <c r="G21" s="26"/>
      <c r="H21" s="31"/>
      <c r="I21" s="27">
        <f t="shared" si="4"/>
        <v>23585182</v>
      </c>
      <c r="J21" s="28" t="s">
        <v>15</v>
      </c>
      <c r="K21" s="3"/>
      <c r="L21" s="3"/>
      <c r="M21" s="3"/>
      <c r="N21" s="11"/>
      <c r="O21" s="39"/>
    </row>
    <row r="22" spans="1:17" s="4" customFormat="1" ht="16.5" customHeight="1" x14ac:dyDescent="0.25">
      <c r="A22" s="21" t="s">
        <v>52</v>
      </c>
      <c r="B22" s="41" t="s">
        <v>65</v>
      </c>
      <c r="C22" s="23">
        <v>27116</v>
      </c>
      <c r="D22" s="42"/>
      <c r="E22" s="43"/>
      <c r="F22" s="23">
        <f t="shared" si="3"/>
        <v>27116</v>
      </c>
      <c r="G22" s="26"/>
      <c r="H22" s="31"/>
      <c r="I22" s="27">
        <f t="shared" si="4"/>
        <v>27116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67</v>
      </c>
      <c r="C23" s="23">
        <v>0</v>
      </c>
      <c r="D23" s="42"/>
      <c r="E23" s="43"/>
      <c r="F23" s="23">
        <f t="shared" si="3"/>
        <v>0</v>
      </c>
      <c r="G23" s="26"/>
      <c r="H23" s="31"/>
      <c r="I23" s="27">
        <f t="shared" si="4"/>
        <v>0</v>
      </c>
      <c r="J23" s="28" t="s">
        <v>15</v>
      </c>
      <c r="K23" s="3"/>
      <c r="L23" s="3"/>
      <c r="M23" s="3"/>
    </row>
    <row r="24" spans="1:17" s="4" customFormat="1" ht="16.5" customHeight="1" x14ac:dyDescent="0.25">
      <c r="A24" s="21" t="s">
        <v>56</v>
      </c>
      <c r="B24" s="41" t="s">
        <v>69</v>
      </c>
      <c r="C24" s="23">
        <v>872587</v>
      </c>
      <c r="D24" s="44"/>
      <c r="E24" s="45"/>
      <c r="F24" s="23">
        <f>H24+I24</f>
        <v>872587</v>
      </c>
      <c r="G24" s="26"/>
      <c r="H24" s="31"/>
      <c r="I24" s="27">
        <f t="shared" si="4"/>
        <v>872587</v>
      </c>
      <c r="J24" s="28" t="s">
        <v>15</v>
      </c>
    </row>
    <row r="25" spans="1:17" s="4" customFormat="1" ht="16.5" hidden="1" customHeight="1" x14ac:dyDescent="0.25">
      <c r="A25" s="21" t="s">
        <v>58</v>
      </c>
      <c r="B25" s="41" t="s">
        <v>113</v>
      </c>
      <c r="C25" s="23">
        <v>0</v>
      </c>
      <c r="D25" s="44"/>
      <c r="E25" s="45"/>
      <c r="F25" s="23">
        <f t="shared" si="3"/>
        <v>0</v>
      </c>
      <c r="G25" s="26"/>
      <c r="H25" s="31"/>
      <c r="I25" s="27">
        <f t="shared" si="4"/>
        <v>0</v>
      </c>
      <c r="J25" s="28" t="s">
        <v>15</v>
      </c>
    </row>
    <row r="26" spans="1:17" s="4" customFormat="1" ht="16.5" hidden="1" customHeight="1" x14ac:dyDescent="0.25">
      <c r="A26" s="21" t="s">
        <v>60</v>
      </c>
      <c r="B26" s="41" t="s">
        <v>114</v>
      </c>
      <c r="C26" s="23">
        <v>0</v>
      </c>
      <c r="D26" s="42"/>
      <c r="E26" s="36"/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  <c r="K26" s="3"/>
      <c r="L26" s="3"/>
      <c r="M26" s="3"/>
    </row>
    <row r="27" spans="1:17" s="4" customFormat="1" hidden="1" x14ac:dyDescent="0.25">
      <c r="A27" s="21"/>
      <c r="B27" s="41" t="s">
        <v>73</v>
      </c>
      <c r="C27" s="23">
        <v>0</v>
      </c>
      <c r="D27" s="42"/>
      <c r="E27" s="43"/>
      <c r="F27" s="23">
        <f t="shared" si="3"/>
        <v>0</v>
      </c>
      <c r="G27" s="26"/>
      <c r="H27" s="31"/>
      <c r="I27" s="27">
        <f t="shared" si="4"/>
        <v>0</v>
      </c>
      <c r="J27" s="28" t="s">
        <v>15</v>
      </c>
    </row>
    <row r="28" spans="1:17" s="50" customFormat="1" ht="16.5" customHeight="1" x14ac:dyDescent="0.25">
      <c r="A28" s="120"/>
      <c r="B28" s="48" t="s">
        <v>101</v>
      </c>
      <c r="C28" s="33">
        <f>SUM(C29:C41)</f>
        <v>515469452</v>
      </c>
      <c r="D28" s="33">
        <f>SUM(D29:D41)</f>
        <v>253644000</v>
      </c>
      <c r="E28" s="33">
        <f>SUM(E29:E41)</f>
        <v>215693999</v>
      </c>
      <c r="F28" s="33">
        <f>SUM(F29:F41)</f>
        <v>553419453</v>
      </c>
      <c r="G28" s="33"/>
      <c r="H28" s="33"/>
      <c r="I28" s="33">
        <f>SUM(I29:I41)</f>
        <v>553419453</v>
      </c>
      <c r="J28" s="49"/>
      <c r="N28" s="56">
        <f>3000000+3186400+3468460+193000</f>
        <v>9847860</v>
      </c>
    </row>
    <row r="29" spans="1:17" s="55" customFormat="1" ht="16.5" customHeight="1" x14ac:dyDescent="0.25">
      <c r="A29" s="111" t="s">
        <v>62</v>
      </c>
      <c r="B29" s="52" t="s">
        <v>27</v>
      </c>
      <c r="C29" s="23">
        <v>20250000</v>
      </c>
      <c r="D29" s="114"/>
      <c r="E29" s="45"/>
      <c r="F29" s="23">
        <f>H29+I29</f>
        <v>20250000</v>
      </c>
      <c r="G29" s="26"/>
      <c r="H29" s="45"/>
      <c r="I29" s="54">
        <f>C29+D29-E29</f>
        <v>20250000</v>
      </c>
      <c r="J29" s="28" t="s">
        <v>15</v>
      </c>
      <c r="N29" s="105" t="s">
        <v>96</v>
      </c>
      <c r="O29" s="104">
        <v>328842</v>
      </c>
    </row>
    <row r="30" spans="1:17" s="55" customFormat="1" ht="16.5" customHeight="1" x14ac:dyDescent="0.25">
      <c r="A30" s="111" t="s">
        <v>64</v>
      </c>
      <c r="B30" s="52" t="s">
        <v>30</v>
      </c>
      <c r="C30" s="23">
        <v>107629765</v>
      </c>
      <c r="D30" s="114">
        <v>78060000</v>
      </c>
      <c r="E30" s="45">
        <v>67235340</v>
      </c>
      <c r="F30" s="23">
        <f t="shared" ref="F30:F41" si="5">H30+I30</f>
        <v>118454425</v>
      </c>
      <c r="G30" s="26"/>
      <c r="H30" s="45"/>
      <c r="I30" s="54">
        <f t="shared" ref="I30:I41" si="6">C30+D30-E30</f>
        <v>118454425</v>
      </c>
      <c r="J30" s="28" t="s">
        <v>15</v>
      </c>
      <c r="N30" s="56" t="s">
        <v>94</v>
      </c>
      <c r="O30" s="56">
        <f>O29*40%</f>
        <v>131536.80000000002</v>
      </c>
    </row>
    <row r="31" spans="1:17" s="55" customFormat="1" ht="16.5" customHeight="1" x14ac:dyDescent="0.25">
      <c r="A31" s="111" t="s">
        <v>66</v>
      </c>
      <c r="B31" s="52" t="s">
        <v>33</v>
      </c>
      <c r="C31" s="23">
        <v>24152368</v>
      </c>
      <c r="D31" s="114">
        <v>18760000</v>
      </c>
      <c r="E31" s="45">
        <v>17955000</v>
      </c>
      <c r="F31" s="23">
        <f t="shared" si="5"/>
        <v>24957368</v>
      </c>
      <c r="G31" s="26"/>
      <c r="H31" s="45"/>
      <c r="I31" s="54">
        <f t="shared" si="6"/>
        <v>24957368</v>
      </c>
      <c r="J31" s="28" t="s">
        <v>15</v>
      </c>
      <c r="N31" s="56" t="s">
        <v>95</v>
      </c>
      <c r="O31" s="56">
        <f>O29*60%</f>
        <v>197305.19999999998</v>
      </c>
    </row>
    <row r="32" spans="1:17" s="4" customFormat="1" ht="16.5" customHeight="1" x14ac:dyDescent="0.25">
      <c r="A32" s="111" t="s">
        <v>68</v>
      </c>
      <c r="B32" s="41" t="s">
        <v>36</v>
      </c>
      <c r="C32" s="23">
        <v>31426414</v>
      </c>
      <c r="D32" s="115">
        <v>27500000</v>
      </c>
      <c r="E32" s="36">
        <v>26224120</v>
      </c>
      <c r="F32" s="23">
        <f t="shared" si="3"/>
        <v>32702294</v>
      </c>
      <c r="G32" s="26"/>
      <c r="H32" s="31"/>
      <c r="I32" s="54">
        <f t="shared" si="6"/>
        <v>32702294</v>
      </c>
      <c r="J32" s="28" t="s">
        <v>15</v>
      </c>
      <c r="N32" s="20"/>
      <c r="O32" s="20"/>
    </row>
    <row r="33" spans="1:23" s="4" customFormat="1" ht="16.5" customHeight="1" x14ac:dyDescent="0.25">
      <c r="A33" s="111" t="s">
        <v>70</v>
      </c>
      <c r="B33" s="41" t="s">
        <v>42</v>
      </c>
      <c r="C33" s="23">
        <v>33758874</v>
      </c>
      <c r="D33" s="115">
        <v>13010000</v>
      </c>
      <c r="E33" s="36">
        <f>4806000+1851000+9033000</f>
        <v>15690000</v>
      </c>
      <c r="F33" s="23">
        <f t="shared" si="5"/>
        <v>31078874</v>
      </c>
      <c r="G33" s="26"/>
      <c r="H33" s="31"/>
      <c r="I33" s="54">
        <f t="shared" si="6"/>
        <v>31078874</v>
      </c>
      <c r="J33" s="28" t="s">
        <v>15</v>
      </c>
      <c r="N33" s="20"/>
      <c r="O33" s="20"/>
    </row>
    <row r="34" spans="1:23" s="4" customFormat="1" ht="16.5" customHeight="1" x14ac:dyDescent="0.25">
      <c r="A34" s="111" t="s">
        <v>75</v>
      </c>
      <c r="B34" s="41" t="s">
        <v>47</v>
      </c>
      <c r="C34" s="23">
        <v>45971448</v>
      </c>
      <c r="D34" s="115"/>
      <c r="E34" s="36"/>
      <c r="F34" s="23">
        <f t="shared" si="5"/>
        <v>45971448</v>
      </c>
      <c r="G34" s="26"/>
      <c r="H34" s="31"/>
      <c r="I34" s="54">
        <f t="shared" si="6"/>
        <v>45971448</v>
      </c>
      <c r="J34" s="28" t="s">
        <v>15</v>
      </c>
      <c r="N34" s="20"/>
      <c r="O34" s="20"/>
    </row>
    <row r="35" spans="1:23" s="4" customFormat="1" ht="16.5" customHeight="1" x14ac:dyDescent="0.25">
      <c r="A35" s="111" t="s">
        <v>76</v>
      </c>
      <c r="B35" s="41" t="s">
        <v>49</v>
      </c>
      <c r="C35" s="23">
        <v>48439000</v>
      </c>
      <c r="D35" s="115">
        <v>26020000</v>
      </c>
      <c r="E35" s="36">
        <f>4235000+4455000+5590000+6160000+660000+5280000</f>
        <v>26380000</v>
      </c>
      <c r="F35" s="23">
        <f t="shared" si="5"/>
        <v>48079000</v>
      </c>
      <c r="G35" s="26"/>
      <c r="H35" s="31"/>
      <c r="I35" s="54">
        <f t="shared" si="6"/>
        <v>48079000</v>
      </c>
      <c r="J35" s="28" t="s">
        <v>15</v>
      </c>
      <c r="N35" s="20"/>
      <c r="O35" s="20"/>
    </row>
    <row r="36" spans="1:23" s="4" customFormat="1" ht="16.5" customHeight="1" x14ac:dyDescent="0.25">
      <c r="A36" s="111" t="s">
        <v>77</v>
      </c>
      <c r="B36" s="41" t="s">
        <v>51</v>
      </c>
      <c r="C36" s="23">
        <v>143231505</v>
      </c>
      <c r="D36" s="115">
        <v>53680000</v>
      </c>
      <c r="E36" s="36">
        <f>4554000+19348529+20307840</f>
        <v>44210369</v>
      </c>
      <c r="F36" s="23">
        <f>H36+I36</f>
        <v>152701136</v>
      </c>
      <c r="G36" s="26"/>
      <c r="H36" s="31"/>
      <c r="I36" s="54">
        <f>C36+D36-E36</f>
        <v>152701136</v>
      </c>
      <c r="J36" s="28" t="s">
        <v>15</v>
      </c>
      <c r="N36" s="20"/>
      <c r="O36" s="20"/>
    </row>
    <row r="37" spans="1:23" s="4" customFormat="1" ht="16.5" customHeight="1" x14ac:dyDescent="0.25">
      <c r="A37" s="111" t="s">
        <v>78</v>
      </c>
      <c r="B37" s="41" t="s">
        <v>53</v>
      </c>
      <c r="C37" s="23">
        <v>32511056</v>
      </c>
      <c r="D37" s="115">
        <v>19150000</v>
      </c>
      <c r="E37" s="36">
        <f>6769100+4572000</f>
        <v>11341100</v>
      </c>
      <c r="F37" s="23">
        <f t="shared" si="5"/>
        <v>40319956</v>
      </c>
      <c r="G37" s="26"/>
      <c r="H37" s="31"/>
      <c r="I37" s="54">
        <f t="shared" si="6"/>
        <v>40319956</v>
      </c>
      <c r="J37" s="28" t="s">
        <v>15</v>
      </c>
      <c r="N37" s="20"/>
      <c r="O37" s="20"/>
    </row>
    <row r="38" spans="1:23" s="4" customFormat="1" ht="16.5" customHeight="1" x14ac:dyDescent="0.25">
      <c r="A38" s="111" t="s">
        <v>97</v>
      </c>
      <c r="B38" s="41" t="s">
        <v>57</v>
      </c>
      <c r="C38" s="23">
        <v>18001660</v>
      </c>
      <c r="D38" s="115">
        <v>10730000</v>
      </c>
      <c r="E38" s="36">
        <f>44000+22000+3346070</f>
        <v>3412070</v>
      </c>
      <c r="F38" s="23">
        <f t="shared" si="5"/>
        <v>25319590</v>
      </c>
      <c r="G38" s="26"/>
      <c r="H38" s="31"/>
      <c r="I38" s="54">
        <f t="shared" si="6"/>
        <v>25319590</v>
      </c>
      <c r="J38" s="28" t="s">
        <v>15</v>
      </c>
      <c r="N38" s="20"/>
      <c r="O38" s="20"/>
    </row>
    <row r="39" spans="1:23" s="4" customFormat="1" ht="16.5" customHeight="1" x14ac:dyDescent="0.25">
      <c r="A39" s="111" t="s">
        <v>98</v>
      </c>
      <c r="B39" s="41" t="s">
        <v>105</v>
      </c>
      <c r="C39" s="23">
        <v>9768520</v>
      </c>
      <c r="D39" s="115">
        <v>6734000</v>
      </c>
      <c r="E39" s="36">
        <f>3246000</f>
        <v>3246000</v>
      </c>
      <c r="F39" s="23">
        <f t="shared" si="5"/>
        <v>13256520</v>
      </c>
      <c r="G39" s="26"/>
      <c r="H39" s="31"/>
      <c r="I39" s="54">
        <f t="shared" si="6"/>
        <v>13256520</v>
      </c>
      <c r="J39" s="28" t="s">
        <v>15</v>
      </c>
      <c r="N39" s="20"/>
      <c r="O39" s="20"/>
    </row>
    <row r="40" spans="1:23" s="4" customFormat="1" ht="16.5" customHeight="1" x14ac:dyDescent="0.25">
      <c r="A40" s="111" t="s">
        <v>106</v>
      </c>
      <c r="B40" s="41" t="s">
        <v>59</v>
      </c>
      <c r="C40" s="23">
        <v>197305</v>
      </c>
      <c r="D40" s="115"/>
      <c r="E40" s="36"/>
      <c r="F40" s="23">
        <f t="shared" si="5"/>
        <v>197305</v>
      </c>
      <c r="G40" s="26"/>
      <c r="H40" s="31"/>
      <c r="I40" s="54">
        <f t="shared" si="6"/>
        <v>197305</v>
      </c>
      <c r="J40" s="28" t="s">
        <v>15</v>
      </c>
      <c r="N40" s="108" t="s">
        <v>99</v>
      </c>
      <c r="O40" s="11">
        <f>F19+F40</f>
        <v>2682015</v>
      </c>
    </row>
    <row r="41" spans="1:23" s="4" customFormat="1" ht="16.5" customHeight="1" x14ac:dyDescent="0.25">
      <c r="A41" s="111" t="s">
        <v>107</v>
      </c>
      <c r="B41" s="41" t="s">
        <v>69</v>
      </c>
      <c r="C41" s="23">
        <v>131537</v>
      </c>
      <c r="D41" s="116"/>
      <c r="E41" s="43"/>
      <c r="F41" s="23">
        <f t="shared" si="5"/>
        <v>131537</v>
      </c>
      <c r="G41" s="26"/>
      <c r="H41" s="31"/>
      <c r="I41" s="54">
        <f t="shared" si="6"/>
        <v>131537</v>
      </c>
      <c r="J41" s="28" t="s">
        <v>15</v>
      </c>
      <c r="N41" s="108" t="s">
        <v>100</v>
      </c>
      <c r="O41" s="20">
        <f>F24+F41</f>
        <v>1004124</v>
      </c>
    </row>
    <row r="42" spans="1:23" s="4" customFormat="1" hidden="1" x14ac:dyDescent="0.25">
      <c r="A42" s="121"/>
      <c r="B42" s="32" t="s">
        <v>79</v>
      </c>
      <c r="C42" s="59">
        <v>0</v>
      </c>
      <c r="D42" s="59">
        <f t="shared" ref="D42:H42" si="7">D43</f>
        <v>0</v>
      </c>
      <c r="E42" s="59">
        <f t="shared" si="7"/>
        <v>0</v>
      </c>
      <c r="F42" s="59">
        <f>F43</f>
        <v>0</v>
      </c>
      <c r="G42" s="59">
        <f t="shared" si="7"/>
        <v>0</v>
      </c>
      <c r="H42" s="59">
        <f t="shared" si="7"/>
        <v>0</v>
      </c>
      <c r="I42" s="59">
        <f>I43</f>
        <v>0</v>
      </c>
      <c r="J42" s="60" t="s">
        <v>15</v>
      </c>
      <c r="K42" s="61"/>
      <c r="L42" s="61"/>
      <c r="M42" s="61"/>
    </row>
    <row r="43" spans="1:23" s="4" customFormat="1" hidden="1" x14ac:dyDescent="0.25">
      <c r="A43" s="21" t="s">
        <v>68</v>
      </c>
      <c r="B43" s="41" t="s">
        <v>80</v>
      </c>
      <c r="C43" s="62">
        <v>0</v>
      </c>
      <c r="D43" s="63"/>
      <c r="E43" s="45"/>
      <c r="F43" s="23">
        <f t="shared" si="3"/>
        <v>0</v>
      </c>
      <c r="G43" s="26"/>
      <c r="H43" s="31"/>
      <c r="I43" s="27">
        <f t="shared" si="4"/>
        <v>0</v>
      </c>
      <c r="J43" s="28" t="s">
        <v>15</v>
      </c>
      <c r="V43" s="64"/>
      <c r="W43" s="65"/>
    </row>
    <row r="44" spans="1:23" s="4" customFormat="1" hidden="1" x14ac:dyDescent="0.25">
      <c r="A44" s="21" t="s">
        <v>70</v>
      </c>
      <c r="B44" s="41"/>
      <c r="C44" s="62"/>
      <c r="D44" s="66"/>
      <c r="E44" s="45"/>
      <c r="F44" s="23"/>
      <c r="G44" s="26"/>
      <c r="H44" s="31"/>
      <c r="I44" s="27"/>
      <c r="J44" s="28"/>
      <c r="V44" s="67"/>
      <c r="W44" s="65"/>
    </row>
    <row r="45" spans="1:23" s="4" customFormat="1" hidden="1" x14ac:dyDescent="0.25">
      <c r="A45" s="21" t="s">
        <v>75</v>
      </c>
      <c r="B45" s="41" t="s">
        <v>81</v>
      </c>
      <c r="C45" s="23"/>
      <c r="D45" s="66"/>
      <c r="E45" s="68"/>
      <c r="F45" s="23">
        <f t="shared" si="3"/>
        <v>0</v>
      </c>
      <c r="G45" s="26"/>
      <c r="H45" s="31"/>
      <c r="I45" s="27">
        <f t="shared" si="4"/>
        <v>0</v>
      </c>
      <c r="J45" s="28" t="s">
        <v>82</v>
      </c>
      <c r="K45" s="69"/>
      <c r="L45" s="69"/>
      <c r="M45" s="69"/>
      <c r="N45" s="69"/>
      <c r="O45" s="69"/>
      <c r="V45" s="70"/>
      <c r="W45" s="65"/>
    </row>
    <row r="46" spans="1:23" s="4" customFormat="1" ht="16.5" customHeight="1" x14ac:dyDescent="0.25">
      <c r="A46" s="32"/>
      <c r="B46" s="48" t="s">
        <v>83</v>
      </c>
      <c r="C46" s="33">
        <f>(C6+C11+C28+C42+C45)</f>
        <v>9743173732</v>
      </c>
      <c r="D46" s="33">
        <f>(D6+D11+D28+D42+D45)</f>
        <v>1389760000</v>
      </c>
      <c r="E46" s="33">
        <f>(E6+E11+E28+E42+E45)</f>
        <v>2867215370</v>
      </c>
      <c r="F46" s="33">
        <f>(F6+F11+F28+F42+F45)</f>
        <v>8265718362</v>
      </c>
      <c r="G46" s="33"/>
      <c r="H46" s="33"/>
      <c r="I46" s="33">
        <f>(I6+I11+I28+I42+I45)</f>
        <v>8265718362</v>
      </c>
      <c r="J46" s="33"/>
      <c r="K46" s="3"/>
      <c r="L46" s="3"/>
      <c r="M46" s="3"/>
      <c r="N46" s="3"/>
      <c r="O46" s="3"/>
      <c r="V46" s="3"/>
      <c r="W46" s="71"/>
    </row>
    <row r="47" spans="1:23" s="4" customFormat="1" x14ac:dyDescent="0.25">
      <c r="A47" s="72"/>
      <c r="B47" s="73"/>
      <c r="C47" s="74"/>
      <c r="D47" s="74"/>
      <c r="E47" s="74"/>
      <c r="F47" s="74"/>
      <c r="G47" s="74"/>
      <c r="H47" s="74"/>
      <c r="I47" s="74"/>
      <c r="J47" s="74"/>
      <c r="K47" s="3"/>
      <c r="L47" s="3"/>
      <c r="M47" s="3"/>
      <c r="N47" s="3"/>
      <c r="O47" s="3"/>
      <c r="V47" s="3"/>
      <c r="W47" s="71"/>
    </row>
    <row r="48" spans="1:23" s="4" customFormat="1" x14ac:dyDescent="0.25">
      <c r="A48" s="118"/>
      <c r="B48" s="75"/>
      <c r="C48" s="75"/>
      <c r="D48" s="10"/>
      <c r="E48" s="10"/>
      <c r="F48" s="3"/>
      <c r="G48" s="3"/>
      <c r="H48" s="124" t="s">
        <v>111</v>
      </c>
      <c r="I48" s="124"/>
      <c r="J48" s="124"/>
      <c r="K48" s="3"/>
      <c r="L48" s="40" t="e">
        <f>#REF!-#REF!</f>
        <v>#REF!</v>
      </c>
      <c r="M48" s="3"/>
      <c r="N48" s="3"/>
      <c r="O48" s="3"/>
      <c r="V48" s="76"/>
      <c r="W48" s="77"/>
    </row>
    <row r="49" spans="1:23" s="4" customFormat="1" x14ac:dyDescent="0.25">
      <c r="A49" s="118"/>
      <c r="B49" s="118" t="s">
        <v>84</v>
      </c>
      <c r="C49" s="69"/>
      <c r="D49" s="117" t="s">
        <v>85</v>
      </c>
      <c r="E49" s="69"/>
      <c r="F49" s="118" t="s">
        <v>86</v>
      </c>
      <c r="G49" s="3"/>
      <c r="H49" s="125" t="s">
        <v>87</v>
      </c>
      <c r="I49" s="125"/>
      <c r="J49" s="125"/>
      <c r="K49" s="3"/>
      <c r="L49" s="3"/>
      <c r="M49" s="3"/>
      <c r="N49" s="3"/>
      <c r="O49" s="3"/>
      <c r="V49" s="76"/>
      <c r="W49" s="77"/>
    </row>
    <row r="50" spans="1:23" s="4" customFormat="1" x14ac:dyDescent="0.25">
      <c r="A50" s="3"/>
      <c r="B50" s="3"/>
      <c r="C50" s="3"/>
      <c r="D50" s="3"/>
      <c r="E50" s="3"/>
      <c r="F50" s="75"/>
      <c r="G50" s="10"/>
      <c r="H50" s="3"/>
      <c r="I50" s="3"/>
      <c r="J50" s="3"/>
      <c r="K50" s="3"/>
      <c r="L50" s="40"/>
      <c r="M50" s="3"/>
      <c r="N50" s="3"/>
      <c r="O50" s="3"/>
      <c r="V50" s="70"/>
      <c r="W50" s="79"/>
    </row>
    <row r="51" spans="1:23" s="4" customFormat="1" x14ac:dyDescent="0.25">
      <c r="A51" s="3"/>
      <c r="B51" s="3"/>
      <c r="C51" s="3"/>
      <c r="D51" s="3"/>
      <c r="E51" s="10"/>
      <c r="F51" s="75"/>
      <c r="G51" s="3"/>
      <c r="H51" s="3"/>
      <c r="I51" s="3"/>
      <c r="J51" s="3"/>
      <c r="K51" s="3"/>
      <c r="L51" s="40"/>
      <c r="M51" s="3"/>
      <c r="N51" s="3"/>
      <c r="O51" s="3"/>
      <c r="Q51" s="11"/>
      <c r="V51" s="70"/>
      <c r="W51" s="79"/>
    </row>
    <row r="52" spans="1:23" s="4" customFormat="1" x14ac:dyDescent="0.25">
      <c r="A52" s="3"/>
      <c r="B52" s="3"/>
      <c r="C52" s="3"/>
      <c r="D52" s="3"/>
      <c r="E52" s="3"/>
      <c r="F52" s="75"/>
      <c r="G52" s="10"/>
      <c r="H52" s="3"/>
      <c r="I52" s="3"/>
      <c r="J52" s="3"/>
      <c r="K52" s="3"/>
      <c r="L52" s="40"/>
      <c r="M52" s="3"/>
      <c r="N52" s="3"/>
      <c r="O52" s="3"/>
      <c r="V52" s="70"/>
      <c r="W52" s="79"/>
    </row>
    <row r="53" spans="1:23" s="4" customFormat="1" x14ac:dyDescent="0.25">
      <c r="A53" s="3"/>
      <c r="B53" s="118" t="s">
        <v>88</v>
      </c>
      <c r="C53" s="3"/>
      <c r="D53" s="118" t="s">
        <v>89</v>
      </c>
      <c r="E53" s="3"/>
      <c r="F53" s="118" t="s">
        <v>90</v>
      </c>
      <c r="G53" s="69"/>
      <c r="H53" s="126" t="s">
        <v>91</v>
      </c>
      <c r="I53" s="126"/>
      <c r="J53" s="126"/>
      <c r="K53" s="3"/>
      <c r="L53" s="3"/>
      <c r="M53" s="3"/>
      <c r="N53" s="3"/>
      <c r="O53" s="3"/>
      <c r="V53" s="70"/>
      <c r="W53" s="79"/>
    </row>
    <row r="54" spans="1:23" x14ac:dyDescent="0.25">
      <c r="A54" s="80"/>
      <c r="B54" s="81"/>
      <c r="C54" s="80"/>
      <c r="D54" s="80"/>
      <c r="E54" s="80"/>
      <c r="F54" s="82"/>
      <c r="G54" s="83"/>
      <c r="H54" s="84"/>
      <c r="I54" s="84"/>
      <c r="J54" s="84"/>
      <c r="K54" s="80"/>
      <c r="L54" s="80"/>
      <c r="M54" s="80"/>
      <c r="N54" s="80"/>
      <c r="O54" s="80"/>
      <c r="V54" s="3"/>
      <c r="W54" s="85"/>
    </row>
    <row r="55" spans="1:23" ht="17.25" x14ac:dyDescent="0.3">
      <c r="A55" s="80"/>
      <c r="F55" s="86"/>
      <c r="G55" s="80"/>
      <c r="H55" s="80"/>
      <c r="I55" s="87"/>
      <c r="J55" s="80"/>
      <c r="K55" s="80"/>
      <c r="L55" s="80"/>
      <c r="M55" s="80"/>
      <c r="N55" s="80"/>
      <c r="O55" s="80"/>
      <c r="V55" s="88"/>
      <c r="W55" s="89"/>
    </row>
    <row r="56" spans="1:23" ht="17.25" x14ac:dyDescent="0.3">
      <c r="V56" s="90"/>
      <c r="W56" s="89"/>
    </row>
    <row r="57" spans="1:23" ht="17.25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1"/>
      <c r="W57" s="92"/>
    </row>
    <row r="58" spans="1:23" ht="17.25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3"/>
      <c r="W58" s="94"/>
    </row>
    <row r="59" spans="1:23" x14ac:dyDescent="0.25">
      <c r="A59" s="80"/>
      <c r="F59" s="80"/>
      <c r="G59" s="80"/>
      <c r="H59" s="80"/>
      <c r="I59" s="87"/>
      <c r="J59" s="80"/>
      <c r="K59" s="80"/>
      <c r="L59" s="80"/>
      <c r="M59" s="80"/>
      <c r="N59" s="80"/>
      <c r="O59" s="80"/>
      <c r="V59" s="95"/>
      <c r="W59" s="95"/>
    </row>
    <row r="60" spans="1:23" x14ac:dyDescent="0.25">
      <c r="A60" s="80"/>
      <c r="F60" s="80"/>
      <c r="G60" s="80"/>
      <c r="H60" s="80"/>
      <c r="I60" s="87"/>
      <c r="J60" s="80"/>
      <c r="K60" s="80"/>
      <c r="L60" s="80"/>
      <c r="M60" s="80"/>
      <c r="N60" s="80"/>
      <c r="O60" s="80"/>
      <c r="V60" s="95"/>
      <c r="W60" s="95"/>
    </row>
    <row r="61" spans="1:23" ht="15.75" x14ac:dyDescent="0.3">
      <c r="A61" s="96"/>
      <c r="F61" s="96"/>
      <c r="G61" s="96"/>
      <c r="H61" s="96"/>
      <c r="I61" s="97"/>
      <c r="J61" s="96"/>
      <c r="V61" s="95"/>
      <c r="W61" s="95"/>
    </row>
    <row r="62" spans="1:23" ht="15.75" x14ac:dyDescent="0.3">
      <c r="A62" s="96"/>
      <c r="F62" s="96"/>
      <c r="G62" s="96"/>
      <c r="H62" s="96"/>
      <c r="I62" s="96"/>
      <c r="J62" s="96"/>
      <c r="V62" s="95"/>
      <c r="W62" s="95"/>
    </row>
    <row r="63" spans="1:23" ht="15.75" x14ac:dyDescent="0.3">
      <c r="A63" s="96"/>
      <c r="F63" s="98"/>
      <c r="G63" s="98"/>
      <c r="H63" s="96"/>
      <c r="I63" s="96"/>
      <c r="J63" s="96"/>
      <c r="V63" s="95"/>
      <c r="W63" s="95"/>
    </row>
    <row r="64" spans="1:23" ht="15.75" x14ac:dyDescent="0.3">
      <c r="A64" s="96"/>
      <c r="F64" s="98"/>
      <c r="G64" s="98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6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6"/>
      <c r="I68" s="96"/>
      <c r="J68" s="96"/>
      <c r="V68" s="95"/>
      <c r="W68" s="95"/>
    </row>
    <row r="69" spans="1:23" ht="15.75" x14ac:dyDescent="0.3">
      <c r="A69" s="96"/>
      <c r="F69" s="96"/>
      <c r="G69" s="96"/>
      <c r="H69" s="97"/>
      <c r="I69" s="96"/>
      <c r="J69" s="96"/>
      <c r="V69" s="95"/>
      <c r="W69" s="95"/>
    </row>
    <row r="70" spans="1:23" ht="15.75" x14ac:dyDescent="0.3">
      <c r="A70" s="96"/>
      <c r="F70" s="96"/>
      <c r="G70" s="96"/>
      <c r="H70" s="98"/>
      <c r="I70" s="96"/>
      <c r="J70" s="96"/>
      <c r="V70" s="95"/>
      <c r="W70" s="95"/>
    </row>
    <row r="71" spans="1:23" ht="15.75" x14ac:dyDescent="0.3">
      <c r="A71" s="96"/>
      <c r="F71" s="99"/>
      <c r="G71" s="99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  <c r="V78" s="95"/>
      <c r="W78" s="95"/>
    </row>
    <row r="79" spans="1:23" ht="15.75" x14ac:dyDescent="0.3">
      <c r="A79" s="96"/>
      <c r="F79" s="96"/>
      <c r="G79" s="96"/>
      <c r="H79" s="96"/>
      <c r="I79" s="96"/>
      <c r="J79" s="96"/>
      <c r="V79" s="95"/>
      <c r="W79" s="95"/>
    </row>
    <row r="80" spans="1:23" ht="15.75" x14ac:dyDescent="0.3">
      <c r="A80" s="96"/>
      <c r="F80" s="96"/>
      <c r="G80" s="96"/>
      <c r="H80" s="96"/>
      <c r="I80" s="96"/>
      <c r="J80" s="96"/>
    </row>
    <row r="81" spans="1:15" ht="15.75" customHeight="1" x14ac:dyDescent="0.35">
      <c r="A81" s="100"/>
      <c r="F81" s="101"/>
      <c r="G81" s="101"/>
      <c r="H81" s="100"/>
      <c r="I81" s="100"/>
      <c r="J81" s="100"/>
      <c r="K81" s="100"/>
      <c r="L81" s="100"/>
      <c r="M81" s="100"/>
      <c r="N81" s="100"/>
      <c r="O81" s="100"/>
    </row>
    <row r="83" spans="1:15" x14ac:dyDescent="0.25">
      <c r="C83" s="102"/>
      <c r="D83" s="102"/>
      <c r="E83" s="103"/>
    </row>
    <row r="84" spans="1:15" x14ac:dyDescent="0.25">
      <c r="C84" s="102"/>
      <c r="D84" s="102"/>
    </row>
    <row r="85" spans="1:15" x14ac:dyDescent="0.25">
      <c r="C85" s="102"/>
      <c r="D85" s="102"/>
    </row>
    <row r="86" spans="1:15" x14ac:dyDescent="0.25">
      <c r="C86" s="102"/>
      <c r="D86" s="102"/>
    </row>
    <row r="87" spans="1:15" x14ac:dyDescent="0.25">
      <c r="C87" s="102"/>
      <c r="D87" s="102"/>
    </row>
    <row r="88" spans="1:15" x14ac:dyDescent="0.25">
      <c r="C88" s="102"/>
      <c r="D88" s="102"/>
    </row>
    <row r="89" spans="1:15" x14ac:dyDescent="0.25">
      <c r="C89" s="102"/>
      <c r="D89" s="102"/>
    </row>
    <row r="90" spans="1:15" x14ac:dyDescent="0.25">
      <c r="C90" s="102"/>
      <c r="D90" s="102"/>
    </row>
    <row r="91" spans="1:15" x14ac:dyDescent="0.25">
      <c r="C91" s="102"/>
      <c r="D91" s="102"/>
    </row>
    <row r="92" spans="1:15" x14ac:dyDescent="0.25">
      <c r="C92" s="102"/>
      <c r="D92" s="102"/>
    </row>
    <row r="93" spans="1:15" x14ac:dyDescent="0.25">
      <c r="C93" s="102"/>
      <c r="D93" s="102"/>
    </row>
    <row r="94" spans="1:15" x14ac:dyDescent="0.25">
      <c r="C94" s="102"/>
      <c r="D94" s="102"/>
    </row>
    <row r="95" spans="1:15" x14ac:dyDescent="0.25">
      <c r="C95" s="102"/>
      <c r="D95" s="102"/>
    </row>
    <row r="96" spans="1:1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  <row r="101" spans="3:4" x14ac:dyDescent="0.25">
      <c r="C101" s="102"/>
      <c r="D101" s="102"/>
    </row>
    <row r="102" spans="3:4" x14ac:dyDescent="0.25">
      <c r="C102" s="102"/>
      <c r="D102" s="102"/>
    </row>
  </sheetData>
  <mergeCells count="13">
    <mergeCell ref="H48:J48"/>
    <mergeCell ref="H49:J49"/>
    <mergeCell ref="H53:J53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7" right="0.7" top="0.5" bottom="0.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2"/>
  <sheetViews>
    <sheetView tabSelected="1" topLeftCell="A23" workbookViewId="0">
      <selection activeCell="E37" sqref="E37"/>
    </sheetView>
  </sheetViews>
  <sheetFormatPr defaultRowHeight="15" x14ac:dyDescent="0.25"/>
  <cols>
    <col min="1" max="1" width="6.140625" customWidth="1"/>
    <col min="2" max="2" width="30" customWidth="1"/>
    <col min="3" max="3" width="15.5703125" customWidth="1"/>
    <col min="4" max="4" width="14" customWidth="1"/>
    <col min="5" max="5" width="17.140625" customWidth="1"/>
    <col min="6" max="6" width="14.42578125" customWidth="1"/>
    <col min="7" max="7" width="10.85546875" customWidth="1"/>
    <col min="8" max="8" width="10.140625" customWidth="1"/>
    <col min="9" max="9" width="15" customWidth="1"/>
    <col min="10" max="10" width="11.7109375" customWidth="1"/>
    <col min="11" max="11" width="13.42578125" hidden="1" customWidth="1"/>
    <col min="12" max="13" width="12.5703125" hidden="1" customWidth="1"/>
    <col min="14" max="14" width="15.42578125" bestFit="1" customWidth="1"/>
    <col min="15" max="15" width="12.140625" customWidth="1"/>
    <col min="16" max="16" width="5.7109375" customWidth="1"/>
    <col min="17" max="17" width="12.140625" customWidth="1"/>
    <col min="18" max="20" width="12.5703125" bestFit="1" customWidth="1"/>
    <col min="21" max="21" width="12.5703125" customWidth="1"/>
    <col min="22" max="22" width="25.85546875" bestFit="1" customWidth="1"/>
    <col min="23" max="23" width="15.7109375" bestFit="1" customWidth="1"/>
    <col min="24" max="25" width="14" bestFit="1" customWidth="1"/>
    <col min="26" max="26" width="12.140625" customWidth="1"/>
  </cols>
  <sheetData>
    <row r="1" spans="1:31" s="4" customFormat="1" x14ac:dyDescent="0.25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31" s="4" customFormat="1" ht="20.25" x14ac:dyDescent="0.3">
      <c r="A2" s="127" t="s">
        <v>115</v>
      </c>
      <c r="B2" s="127"/>
      <c r="C2" s="127"/>
      <c r="D2" s="127"/>
      <c r="E2" s="127"/>
      <c r="F2" s="127"/>
      <c r="G2" s="127"/>
      <c r="H2" s="127"/>
      <c r="I2" s="127"/>
      <c r="J2" s="127"/>
      <c r="O2" s="5"/>
    </row>
    <row r="3" spans="1:31" s="4" customFormat="1" ht="16.5" x14ac:dyDescent="0.35">
      <c r="A3" s="123"/>
      <c r="B3" s="3"/>
      <c r="C3" s="2"/>
      <c r="D3" s="2"/>
      <c r="E3" s="2"/>
      <c r="F3" s="7" t="s">
        <v>1</v>
      </c>
      <c r="G3" s="7"/>
      <c r="H3" s="2"/>
      <c r="N3" s="8"/>
      <c r="O3" s="9"/>
    </row>
    <row r="4" spans="1:31" s="4" customFormat="1" ht="15.75" customHeight="1" x14ac:dyDescent="0.25">
      <c r="A4" s="128" t="s">
        <v>2</v>
      </c>
      <c r="B4" s="128" t="s">
        <v>3</v>
      </c>
      <c r="C4" s="130" t="s">
        <v>4</v>
      </c>
      <c r="D4" s="130" t="s">
        <v>5</v>
      </c>
      <c r="E4" s="130" t="s">
        <v>6</v>
      </c>
      <c r="F4" s="130" t="s">
        <v>7</v>
      </c>
      <c r="G4" s="130" t="s">
        <v>8</v>
      </c>
      <c r="H4" s="132" t="s">
        <v>9</v>
      </c>
      <c r="I4" s="133"/>
      <c r="J4" s="128" t="s">
        <v>10</v>
      </c>
      <c r="K4" s="3"/>
      <c r="L4" s="3"/>
      <c r="M4" s="3"/>
      <c r="N4" s="10"/>
      <c r="O4" s="3"/>
      <c r="Q4" s="11"/>
    </row>
    <row r="5" spans="1:31" s="4" customFormat="1" ht="25.5" x14ac:dyDescent="0.25">
      <c r="A5" s="129"/>
      <c r="B5" s="129"/>
      <c r="C5" s="131"/>
      <c r="D5" s="131"/>
      <c r="E5" s="131"/>
      <c r="F5" s="131"/>
      <c r="G5" s="131"/>
      <c r="H5" s="12" t="s">
        <v>11</v>
      </c>
      <c r="I5" s="12" t="s">
        <v>12</v>
      </c>
      <c r="J5" s="129"/>
      <c r="K5" s="3"/>
      <c r="L5" s="3"/>
      <c r="M5" s="3"/>
      <c r="N5" s="13"/>
      <c r="O5" s="3"/>
      <c r="Q5" s="11"/>
    </row>
    <row r="6" spans="1:31" s="4" customFormat="1" ht="16.5" customHeight="1" x14ac:dyDescent="0.25">
      <c r="A6" s="14" t="s">
        <v>13</v>
      </c>
      <c r="B6" s="15" t="s">
        <v>14</v>
      </c>
      <c r="C6" s="16">
        <f>SUM(C7:C10)</f>
        <v>6374381745</v>
      </c>
      <c r="D6" s="16">
        <f t="shared" ref="D6:H6" si="0">SUM(D7:D10)</f>
        <v>0</v>
      </c>
      <c r="E6" s="16">
        <f>SUM(E7:E10)</f>
        <v>458489724</v>
      </c>
      <c r="F6" s="16">
        <f>SUM(F7:F9)</f>
        <v>5915892021</v>
      </c>
      <c r="G6" s="16">
        <f t="shared" si="0"/>
        <v>0</v>
      </c>
      <c r="H6" s="16">
        <f t="shared" si="0"/>
        <v>0</v>
      </c>
      <c r="I6" s="16">
        <f>SUM(I7:I9)</f>
        <v>5915892021</v>
      </c>
      <c r="J6" s="17" t="s">
        <v>15</v>
      </c>
      <c r="K6" s="18"/>
      <c r="L6" s="19"/>
      <c r="M6" s="19"/>
      <c r="N6" s="10">
        <f>F7+F9</f>
        <v>3702652563</v>
      </c>
      <c r="O6" s="3"/>
      <c r="P6" s="20"/>
      <c r="Q6" s="11"/>
    </row>
    <row r="7" spans="1:31" s="4" customFormat="1" ht="16.5" customHeight="1" x14ac:dyDescent="0.25">
      <c r="A7" s="21" t="s">
        <v>16</v>
      </c>
      <c r="B7" s="22" t="s">
        <v>17</v>
      </c>
      <c r="C7" s="23">
        <v>4061142287</v>
      </c>
      <c r="D7" s="119"/>
      <c r="E7" s="25">
        <f>352091833+641210+87319229+5457452+7480000+2750000+660000+2090000</f>
        <v>458489724</v>
      </c>
      <c r="F7" s="23">
        <f>H7+I7</f>
        <v>3602652563</v>
      </c>
      <c r="G7" s="26"/>
      <c r="H7" s="27"/>
      <c r="I7" s="27">
        <f>C7+D7-E7+G7</f>
        <v>3602652563</v>
      </c>
      <c r="J7" s="28" t="s">
        <v>15</v>
      </c>
      <c r="K7" s="10"/>
      <c r="L7" s="3"/>
      <c r="M7" s="3"/>
      <c r="N7" s="29">
        <v>13</v>
      </c>
      <c r="O7" s="29"/>
      <c r="P7" s="20"/>
      <c r="Q7" s="11"/>
    </row>
    <row r="8" spans="1:31" s="4" customFormat="1" ht="16.5" customHeight="1" x14ac:dyDescent="0.25">
      <c r="A8" s="21" t="s">
        <v>18</v>
      </c>
      <c r="B8" s="22" t="s">
        <v>19</v>
      </c>
      <c r="C8" s="23">
        <v>2213239458</v>
      </c>
      <c r="D8" s="119"/>
      <c r="E8" s="25"/>
      <c r="F8" s="23">
        <f t="shared" ref="F8" si="1">H8+I8</f>
        <v>2213239458</v>
      </c>
      <c r="G8" s="26"/>
      <c r="H8" s="27"/>
      <c r="I8" s="27">
        <f>C8+D8-E8+G8</f>
        <v>2213239458</v>
      </c>
      <c r="J8" s="28" t="s">
        <v>15</v>
      </c>
      <c r="K8" s="10"/>
      <c r="L8" s="3"/>
      <c r="M8" s="3"/>
      <c r="N8" s="29">
        <v>14</v>
      </c>
      <c r="O8" s="30"/>
      <c r="P8" s="20"/>
      <c r="Q8" s="11"/>
    </row>
    <row r="9" spans="1:31" s="4" customFormat="1" ht="16.5" customHeight="1" x14ac:dyDescent="0.25">
      <c r="A9" s="21" t="s">
        <v>20</v>
      </c>
      <c r="B9" s="22" t="s">
        <v>21</v>
      </c>
      <c r="C9" s="23">
        <v>100000000</v>
      </c>
      <c r="D9" s="119"/>
      <c r="E9" s="25"/>
      <c r="F9" s="23">
        <f>H9+I9</f>
        <v>100000000</v>
      </c>
      <c r="G9" s="26"/>
      <c r="H9" s="27"/>
      <c r="I9" s="27">
        <f>C9+D9-E9+G9</f>
        <v>100000000</v>
      </c>
      <c r="J9" s="28" t="s">
        <v>15</v>
      </c>
      <c r="K9" s="10"/>
      <c r="L9" s="3"/>
      <c r="M9" s="3"/>
      <c r="N9" s="29">
        <v>12</v>
      </c>
      <c r="O9" s="29"/>
      <c r="P9" s="20"/>
      <c r="Q9" s="11"/>
    </row>
    <row r="10" spans="1:31" s="4" customFormat="1" hidden="1" x14ac:dyDescent="0.25">
      <c r="A10" s="21" t="s">
        <v>22</v>
      </c>
      <c r="B10" s="22" t="s">
        <v>23</v>
      </c>
      <c r="C10" s="23"/>
      <c r="D10" s="27"/>
      <c r="E10" s="31"/>
      <c r="F10" s="23">
        <f>H10+I10</f>
        <v>0</v>
      </c>
      <c r="G10" s="26"/>
      <c r="H10" s="27"/>
      <c r="I10" s="27">
        <f>C10+D10-E10+G10</f>
        <v>0</v>
      </c>
      <c r="J10" s="28" t="s">
        <v>15</v>
      </c>
      <c r="K10" s="10"/>
      <c r="L10" s="3"/>
      <c r="M10" s="3"/>
      <c r="N10" s="29">
        <v>15</v>
      </c>
      <c r="O10" s="29"/>
      <c r="P10" s="20"/>
      <c r="Q10" s="11"/>
    </row>
    <row r="11" spans="1:31" s="4" customFormat="1" ht="16.5" customHeight="1" x14ac:dyDescent="0.25">
      <c r="A11" s="32"/>
      <c r="B11" s="14" t="s">
        <v>102</v>
      </c>
      <c r="C11" s="16">
        <f>SUM(C12:C27)</f>
        <v>1337917164</v>
      </c>
      <c r="D11" s="16">
        <f>SUM(D12:D27)</f>
        <v>0</v>
      </c>
      <c r="E11" s="33">
        <f t="shared" ref="E11:H11" si="2">SUM(E12:E27)</f>
        <v>1133437000</v>
      </c>
      <c r="F11" s="16">
        <f t="shared" si="2"/>
        <v>204480164</v>
      </c>
      <c r="G11" s="16">
        <f t="shared" si="2"/>
        <v>0</v>
      </c>
      <c r="H11" s="16">
        <f t="shared" si="2"/>
        <v>0</v>
      </c>
      <c r="I11" s="16">
        <f>SUM(I12:I27)</f>
        <v>204480164</v>
      </c>
      <c r="J11" s="17"/>
      <c r="K11" s="18"/>
      <c r="L11" s="19"/>
      <c r="M11" s="19"/>
      <c r="N11" s="34" t="s">
        <v>25</v>
      </c>
      <c r="O11" s="34" t="s">
        <v>26</v>
      </c>
      <c r="P11" s="35">
        <v>3713</v>
      </c>
      <c r="Q11" s="11"/>
    </row>
    <row r="12" spans="1:31" s="4" customFormat="1" ht="16.5" customHeight="1" x14ac:dyDescent="0.25">
      <c r="A12" s="21" t="s">
        <v>22</v>
      </c>
      <c r="B12" s="38" t="s">
        <v>36</v>
      </c>
      <c r="C12" s="23">
        <v>55000000</v>
      </c>
      <c r="D12" s="36"/>
      <c r="E12" s="36">
        <v>55000000</v>
      </c>
      <c r="F12" s="23">
        <f t="shared" ref="F12:F45" si="3">H12+I12</f>
        <v>0</v>
      </c>
      <c r="G12" s="26"/>
      <c r="H12" s="31"/>
      <c r="I12" s="27">
        <f t="shared" ref="I12:I45" si="4">C12+D12-E12</f>
        <v>0</v>
      </c>
      <c r="J12" s="28" t="s">
        <v>15</v>
      </c>
      <c r="K12" s="10"/>
      <c r="L12" s="40"/>
      <c r="M12" s="40"/>
      <c r="N12" s="10">
        <f>D12+D13+D14+D15+D16+D17+D18+D24+D25+D26+D27</f>
        <v>0</v>
      </c>
      <c r="O12" s="10">
        <f>E12+E13+E14+E15+E16+E17+E18+E24+E25+E26+E27</f>
        <v>1133437000</v>
      </c>
      <c r="P12" s="37" t="s">
        <v>28</v>
      </c>
      <c r="Q12" s="10">
        <f>F12+F13+F14+F15+F16+F17+F18+F24+F25+F26</f>
        <v>141484470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s="4" customFormat="1" ht="16.5" customHeight="1" x14ac:dyDescent="0.25">
      <c r="A13" s="21" t="s">
        <v>29</v>
      </c>
      <c r="B13" s="41" t="s">
        <v>39</v>
      </c>
      <c r="C13" s="23">
        <v>110067863</v>
      </c>
      <c r="D13" s="36"/>
      <c r="E13" s="36"/>
      <c r="F13" s="23">
        <f t="shared" si="3"/>
        <v>110067863</v>
      </c>
      <c r="G13" s="26"/>
      <c r="H13" s="31"/>
      <c r="I13" s="27">
        <f t="shared" si="4"/>
        <v>110067863</v>
      </c>
      <c r="J13" s="28" t="s">
        <v>15</v>
      </c>
      <c r="K13" s="3"/>
      <c r="L13" s="40">
        <f>SUM(D11:D45)</f>
        <v>0</v>
      </c>
      <c r="M13" s="40">
        <f>SUM(E11:E45)</f>
        <v>2681963542</v>
      </c>
      <c r="N13" s="10">
        <f>D19</f>
        <v>0</v>
      </c>
      <c r="O13" s="10">
        <f>E19</f>
        <v>0</v>
      </c>
      <c r="P13" s="37" t="s">
        <v>31</v>
      </c>
      <c r="Q13" s="39">
        <f>F19</f>
        <v>2484710</v>
      </c>
    </row>
    <row r="14" spans="1:31" s="4" customFormat="1" ht="16.5" customHeight="1" x14ac:dyDescent="0.25">
      <c r="A14" s="21" t="s">
        <v>32</v>
      </c>
      <c r="B14" s="41" t="s">
        <v>45</v>
      </c>
      <c r="C14" s="23">
        <v>730742600</v>
      </c>
      <c r="D14" s="36"/>
      <c r="E14" s="36">
        <f>693935000+12606000</f>
        <v>706541000</v>
      </c>
      <c r="F14" s="23">
        <f t="shared" si="3"/>
        <v>24201600</v>
      </c>
      <c r="G14" s="26"/>
      <c r="H14" s="31"/>
      <c r="I14" s="27">
        <f t="shared" si="4"/>
        <v>24201600</v>
      </c>
      <c r="J14" s="28" t="s">
        <v>15</v>
      </c>
      <c r="K14" s="3"/>
      <c r="L14" s="40"/>
      <c r="M14" s="3"/>
      <c r="N14" s="10">
        <f>D23</f>
        <v>0</v>
      </c>
      <c r="O14" s="10">
        <f>E23</f>
        <v>0</v>
      </c>
      <c r="P14" s="37" t="s">
        <v>34</v>
      </c>
      <c r="Q14" s="39">
        <f>F23</f>
        <v>0</v>
      </c>
    </row>
    <row r="15" spans="1:31" s="4" customFormat="1" ht="16.5" customHeight="1" x14ac:dyDescent="0.25">
      <c r="A15" s="21" t="s">
        <v>35</v>
      </c>
      <c r="B15" s="41" t="s">
        <v>51</v>
      </c>
      <c r="C15" s="23">
        <v>214720000</v>
      </c>
      <c r="D15" s="36"/>
      <c r="E15" s="36">
        <v>214720000</v>
      </c>
      <c r="F15" s="23">
        <f>H15+I15</f>
        <v>0</v>
      </c>
      <c r="G15" s="26"/>
      <c r="H15" s="31"/>
      <c r="I15" s="27">
        <f t="shared" si="4"/>
        <v>0</v>
      </c>
      <c r="J15" s="28" t="s">
        <v>15</v>
      </c>
      <c r="K15" s="3"/>
      <c r="L15" s="3"/>
      <c r="M15" s="3"/>
      <c r="N15" s="10">
        <f>D21</f>
        <v>0</v>
      </c>
      <c r="O15" s="10">
        <f>E21</f>
        <v>0</v>
      </c>
      <c r="P15" s="37" t="s">
        <v>37</v>
      </c>
      <c r="Q15" s="39">
        <f>F21</f>
        <v>23585182</v>
      </c>
    </row>
    <row r="16" spans="1:31" s="4" customFormat="1" ht="16.5" customHeight="1" x14ac:dyDescent="0.25">
      <c r="A16" s="21" t="s">
        <v>38</v>
      </c>
      <c r="B16" s="41" t="s">
        <v>55</v>
      </c>
      <c r="C16" s="23">
        <v>6342420</v>
      </c>
      <c r="D16" s="36"/>
      <c r="E16" s="36"/>
      <c r="F16" s="23">
        <f t="shared" si="3"/>
        <v>6342420</v>
      </c>
      <c r="G16" s="26"/>
      <c r="H16" s="31"/>
      <c r="I16" s="27">
        <f t="shared" si="4"/>
        <v>6342420</v>
      </c>
      <c r="J16" s="28" t="s">
        <v>15</v>
      </c>
      <c r="K16" s="3"/>
      <c r="L16" s="3"/>
      <c r="M16" s="3"/>
      <c r="N16" s="10">
        <f>D20</f>
        <v>0</v>
      </c>
      <c r="O16" s="10">
        <f>E20</f>
        <v>0</v>
      </c>
      <c r="P16" s="37" t="s">
        <v>40</v>
      </c>
      <c r="Q16" s="39">
        <f>F20</f>
        <v>36898686</v>
      </c>
    </row>
    <row r="17" spans="1:17" s="4" customFormat="1" ht="16.5" customHeight="1" x14ac:dyDescent="0.25">
      <c r="A17" s="21" t="s">
        <v>41</v>
      </c>
      <c r="B17" s="41" t="s">
        <v>57</v>
      </c>
      <c r="C17" s="23">
        <v>96570000</v>
      </c>
      <c r="D17" s="36"/>
      <c r="E17" s="36">
        <v>96570000</v>
      </c>
      <c r="F17" s="23">
        <f t="shared" si="3"/>
        <v>0</v>
      </c>
      <c r="G17" s="26"/>
      <c r="H17" s="31"/>
      <c r="I17" s="27">
        <f t="shared" si="4"/>
        <v>0</v>
      </c>
      <c r="J17" s="28" t="s">
        <v>15</v>
      </c>
      <c r="K17" s="3"/>
      <c r="L17" s="3"/>
      <c r="M17" s="3"/>
      <c r="N17" s="10">
        <f>D22</f>
        <v>0</v>
      </c>
      <c r="O17" s="10">
        <f>E22</f>
        <v>0</v>
      </c>
      <c r="P17" s="37" t="s">
        <v>43</v>
      </c>
      <c r="Q17" s="39">
        <f>F22</f>
        <v>27116</v>
      </c>
    </row>
    <row r="18" spans="1:17" s="4" customFormat="1" ht="16.5" customHeight="1" x14ac:dyDescent="0.25">
      <c r="A18" s="21" t="s">
        <v>44</v>
      </c>
      <c r="B18" s="41" t="s">
        <v>105</v>
      </c>
      <c r="C18" s="23">
        <v>60606000</v>
      </c>
      <c r="D18" s="36"/>
      <c r="E18" s="36">
        <v>60606000</v>
      </c>
      <c r="F18" s="23">
        <f t="shared" si="3"/>
        <v>0</v>
      </c>
      <c r="G18" s="26"/>
      <c r="H18" s="31"/>
      <c r="I18" s="27">
        <f t="shared" si="4"/>
        <v>0</v>
      </c>
      <c r="J18" s="28" t="s">
        <v>15</v>
      </c>
      <c r="K18" s="3"/>
      <c r="L18" s="3"/>
      <c r="M18" s="3"/>
      <c r="N18" s="3"/>
      <c r="O18" s="3"/>
      <c r="P18" s="20"/>
      <c r="Q18" s="11"/>
    </row>
    <row r="19" spans="1:17" s="4" customFormat="1" ht="16.5" customHeight="1" x14ac:dyDescent="0.25">
      <c r="A19" s="21" t="s">
        <v>46</v>
      </c>
      <c r="B19" s="41" t="s">
        <v>59</v>
      </c>
      <c r="C19" s="23">
        <v>2484710</v>
      </c>
      <c r="D19" s="42"/>
      <c r="E19" s="36"/>
      <c r="F19" s="23">
        <f t="shared" si="3"/>
        <v>2484710</v>
      </c>
      <c r="G19" s="26"/>
      <c r="H19" s="31"/>
      <c r="I19" s="27">
        <f t="shared" si="4"/>
        <v>2484710</v>
      </c>
      <c r="J19" s="28" t="s">
        <v>15</v>
      </c>
      <c r="K19" s="3"/>
      <c r="L19" s="3"/>
      <c r="M19" s="3"/>
      <c r="N19" s="34" t="s">
        <v>25</v>
      </c>
      <c r="O19" s="34" t="s">
        <v>26</v>
      </c>
      <c r="P19" s="35">
        <v>3714</v>
      </c>
      <c r="Q19" s="11"/>
    </row>
    <row r="20" spans="1:17" s="4" customFormat="1" ht="16.5" customHeight="1" x14ac:dyDescent="0.25">
      <c r="A20" s="21" t="s">
        <v>48</v>
      </c>
      <c r="B20" s="41" t="s">
        <v>61</v>
      </c>
      <c r="C20" s="23">
        <v>36898686</v>
      </c>
      <c r="D20" s="43"/>
      <c r="E20" s="36"/>
      <c r="F20" s="23">
        <f>H20+I20</f>
        <v>36898686</v>
      </c>
      <c r="G20" s="26"/>
      <c r="H20" s="31"/>
      <c r="I20" s="27">
        <f>C20+D20-E20</f>
        <v>36898686</v>
      </c>
      <c r="J20" s="28" t="s">
        <v>15</v>
      </c>
      <c r="K20" s="3"/>
      <c r="L20" s="3"/>
      <c r="M20" s="3"/>
      <c r="N20" s="2">
        <f>SUM(D29:D38)</f>
        <v>0</v>
      </c>
      <c r="O20" s="40">
        <f>SUM(E29:E38)</f>
        <v>204272771</v>
      </c>
      <c r="P20" s="37" t="s">
        <v>28</v>
      </c>
      <c r="Q20" s="39">
        <f>SUM(F29:F38)</f>
        <v>335561320</v>
      </c>
    </row>
    <row r="21" spans="1:17" s="4" customFormat="1" ht="16.5" customHeight="1" x14ac:dyDescent="0.25">
      <c r="A21" s="21" t="s">
        <v>50</v>
      </c>
      <c r="B21" s="41" t="s">
        <v>63</v>
      </c>
      <c r="C21" s="23">
        <v>23585182</v>
      </c>
      <c r="D21" s="42"/>
      <c r="E21" s="36"/>
      <c r="F21" s="23">
        <f t="shared" si="3"/>
        <v>23585182</v>
      </c>
      <c r="G21" s="26"/>
      <c r="H21" s="31"/>
      <c r="I21" s="27">
        <f t="shared" si="4"/>
        <v>23585182</v>
      </c>
      <c r="J21" s="28" t="s">
        <v>15</v>
      </c>
      <c r="K21" s="3"/>
      <c r="L21" s="3"/>
      <c r="M21" s="3"/>
      <c r="N21" s="11"/>
      <c r="O21" s="39"/>
    </row>
    <row r="22" spans="1:17" s="4" customFormat="1" ht="16.5" customHeight="1" x14ac:dyDescent="0.25">
      <c r="A22" s="21" t="s">
        <v>52</v>
      </c>
      <c r="B22" s="41" t="s">
        <v>65</v>
      </c>
      <c r="C22" s="23">
        <v>27116</v>
      </c>
      <c r="D22" s="42"/>
      <c r="E22" s="43"/>
      <c r="F22" s="23">
        <f t="shared" si="3"/>
        <v>27116</v>
      </c>
      <c r="G22" s="26"/>
      <c r="H22" s="31"/>
      <c r="I22" s="27">
        <f t="shared" si="4"/>
        <v>27116</v>
      </c>
      <c r="J22" s="28" t="s">
        <v>15</v>
      </c>
      <c r="K22" s="3"/>
      <c r="L22" s="3"/>
      <c r="M22" s="3"/>
    </row>
    <row r="23" spans="1:17" s="4" customFormat="1" ht="16.5" customHeight="1" x14ac:dyDescent="0.25">
      <c r="A23" s="21" t="s">
        <v>54</v>
      </c>
      <c r="B23" s="41" t="s">
        <v>67</v>
      </c>
      <c r="C23" s="23">
        <v>0</v>
      </c>
      <c r="D23" s="42"/>
      <c r="E23" s="43"/>
      <c r="F23" s="23">
        <f t="shared" si="3"/>
        <v>0</v>
      </c>
      <c r="G23" s="26"/>
      <c r="H23" s="31"/>
      <c r="I23" s="27">
        <f t="shared" si="4"/>
        <v>0</v>
      </c>
      <c r="J23" s="28" t="s">
        <v>15</v>
      </c>
      <c r="K23" s="3"/>
      <c r="L23" s="3"/>
      <c r="M23" s="3"/>
    </row>
    <row r="24" spans="1:17" s="4" customFormat="1" ht="16.5" customHeight="1" x14ac:dyDescent="0.25">
      <c r="A24" s="21" t="s">
        <v>56</v>
      </c>
      <c r="B24" s="41" t="s">
        <v>69</v>
      </c>
      <c r="C24" s="23">
        <v>872587</v>
      </c>
      <c r="D24" s="44"/>
      <c r="E24" s="45"/>
      <c r="F24" s="23">
        <f>H24+I24</f>
        <v>872587</v>
      </c>
      <c r="G24" s="26"/>
      <c r="H24" s="31"/>
      <c r="I24" s="27">
        <f t="shared" si="4"/>
        <v>872587</v>
      </c>
      <c r="J24" s="28" t="s">
        <v>15</v>
      </c>
    </row>
    <row r="25" spans="1:17" s="4" customFormat="1" ht="16.5" hidden="1" customHeight="1" x14ac:dyDescent="0.25">
      <c r="A25" s="21" t="s">
        <v>58</v>
      </c>
      <c r="B25" s="41" t="s">
        <v>113</v>
      </c>
      <c r="C25" s="23">
        <v>0</v>
      </c>
      <c r="D25" s="44"/>
      <c r="E25" s="45"/>
      <c r="F25" s="23">
        <f t="shared" si="3"/>
        <v>0</v>
      </c>
      <c r="G25" s="26"/>
      <c r="H25" s="31"/>
      <c r="I25" s="27">
        <f t="shared" si="4"/>
        <v>0</v>
      </c>
      <c r="J25" s="28" t="s">
        <v>15</v>
      </c>
    </row>
    <row r="26" spans="1:17" s="4" customFormat="1" ht="16.5" hidden="1" customHeight="1" x14ac:dyDescent="0.25">
      <c r="A26" s="21" t="s">
        <v>60</v>
      </c>
      <c r="B26" s="41" t="s">
        <v>114</v>
      </c>
      <c r="C26" s="23">
        <v>0</v>
      </c>
      <c r="D26" s="42"/>
      <c r="E26" s="36"/>
      <c r="F26" s="23">
        <f t="shared" si="3"/>
        <v>0</v>
      </c>
      <c r="G26" s="26"/>
      <c r="H26" s="31"/>
      <c r="I26" s="27">
        <f t="shared" si="4"/>
        <v>0</v>
      </c>
      <c r="J26" s="28" t="s">
        <v>15</v>
      </c>
      <c r="K26" s="3"/>
      <c r="L26" s="3"/>
      <c r="M26" s="3"/>
    </row>
    <row r="27" spans="1:17" s="4" customFormat="1" hidden="1" x14ac:dyDescent="0.25">
      <c r="A27" s="21"/>
      <c r="B27" s="41" t="s">
        <v>73</v>
      </c>
      <c r="C27" s="23">
        <v>0</v>
      </c>
      <c r="D27" s="42"/>
      <c r="E27" s="43"/>
      <c r="F27" s="23">
        <f t="shared" si="3"/>
        <v>0</v>
      </c>
      <c r="G27" s="26"/>
      <c r="H27" s="31"/>
      <c r="I27" s="27">
        <f t="shared" si="4"/>
        <v>0</v>
      </c>
      <c r="J27" s="28" t="s">
        <v>15</v>
      </c>
    </row>
    <row r="28" spans="1:17" s="50" customFormat="1" ht="16.5" customHeight="1" x14ac:dyDescent="0.25">
      <c r="A28" s="120"/>
      <c r="B28" s="48" t="s">
        <v>101</v>
      </c>
      <c r="C28" s="33">
        <f>SUM(C29:C41)</f>
        <v>553419453</v>
      </c>
      <c r="D28" s="33">
        <f>SUM(D29:D41)</f>
        <v>0</v>
      </c>
      <c r="E28" s="33">
        <f>SUM(E29:E41)</f>
        <v>207544771</v>
      </c>
      <c r="F28" s="33">
        <f>SUM(F29:F41)</f>
        <v>345874682</v>
      </c>
      <c r="G28" s="33"/>
      <c r="H28" s="33"/>
      <c r="I28" s="33">
        <f>SUM(I29:I41)</f>
        <v>345874682</v>
      </c>
      <c r="J28" s="49"/>
      <c r="N28" s="56">
        <f>3000000+3186400+3468460+193000</f>
        <v>9847860</v>
      </c>
    </row>
    <row r="29" spans="1:17" s="55" customFormat="1" ht="16.5" customHeight="1" x14ac:dyDescent="0.25">
      <c r="A29" s="111" t="s">
        <v>62</v>
      </c>
      <c r="B29" s="52" t="s">
        <v>27</v>
      </c>
      <c r="C29" s="23">
        <v>20250000</v>
      </c>
      <c r="D29" s="114"/>
      <c r="E29" s="45"/>
      <c r="F29" s="23">
        <f>H29+I29</f>
        <v>20250000</v>
      </c>
      <c r="G29" s="26"/>
      <c r="H29" s="45"/>
      <c r="I29" s="54">
        <f>C29+D29-E29</f>
        <v>20250000</v>
      </c>
      <c r="J29" s="28" t="s">
        <v>15</v>
      </c>
      <c r="N29" s="105" t="s">
        <v>96</v>
      </c>
      <c r="O29" s="104">
        <v>328842</v>
      </c>
    </row>
    <row r="30" spans="1:17" s="55" customFormat="1" ht="16.5" customHeight="1" x14ac:dyDescent="0.25">
      <c r="A30" s="111" t="s">
        <v>64</v>
      </c>
      <c r="B30" s="52" t="s">
        <v>30</v>
      </c>
      <c r="C30" s="23">
        <v>118454425</v>
      </c>
      <c r="D30" s="114"/>
      <c r="E30" s="45">
        <f>67912200</f>
        <v>67912200</v>
      </c>
      <c r="F30" s="23">
        <f t="shared" ref="F30:F41" si="5">H30+I30</f>
        <v>50542225</v>
      </c>
      <c r="G30" s="26"/>
      <c r="H30" s="45"/>
      <c r="I30" s="54">
        <f t="shared" ref="I30:I41" si="6">C30+D30-E30</f>
        <v>50542225</v>
      </c>
      <c r="J30" s="28" t="s">
        <v>15</v>
      </c>
      <c r="N30" s="56" t="s">
        <v>94</v>
      </c>
      <c r="O30" s="56">
        <f>O29*40%</f>
        <v>131536.80000000002</v>
      </c>
    </row>
    <row r="31" spans="1:17" s="55" customFormat="1" ht="16.5" customHeight="1" x14ac:dyDescent="0.25">
      <c r="A31" s="111" t="s">
        <v>66</v>
      </c>
      <c r="B31" s="52" t="s">
        <v>33</v>
      </c>
      <c r="C31" s="23">
        <v>24957368</v>
      </c>
      <c r="D31" s="114"/>
      <c r="E31" s="45">
        <f>17822000</f>
        <v>17822000</v>
      </c>
      <c r="F31" s="23">
        <f t="shared" si="5"/>
        <v>7135368</v>
      </c>
      <c r="G31" s="26"/>
      <c r="H31" s="45"/>
      <c r="I31" s="54">
        <f t="shared" si="6"/>
        <v>7135368</v>
      </c>
      <c r="J31" s="28" t="s">
        <v>15</v>
      </c>
      <c r="N31" s="56" t="s">
        <v>95</v>
      </c>
      <c r="O31" s="56">
        <f>O29*60%</f>
        <v>197305.19999999998</v>
      </c>
    </row>
    <row r="32" spans="1:17" s="4" customFormat="1" ht="16.5" customHeight="1" x14ac:dyDescent="0.25">
      <c r="A32" s="111" t="s">
        <v>68</v>
      </c>
      <c r="B32" s="41" t="s">
        <v>36</v>
      </c>
      <c r="C32" s="23">
        <v>32702294</v>
      </c>
      <c r="D32" s="115"/>
      <c r="E32" s="36">
        <f>44000+22000+26455000</f>
        <v>26521000</v>
      </c>
      <c r="F32" s="23">
        <f t="shared" si="3"/>
        <v>6181294</v>
      </c>
      <c r="G32" s="26"/>
      <c r="H32" s="31"/>
      <c r="I32" s="54">
        <f t="shared" si="6"/>
        <v>6181294</v>
      </c>
      <c r="J32" s="28" t="s">
        <v>15</v>
      </c>
      <c r="N32" s="20"/>
      <c r="O32" s="20"/>
    </row>
    <row r="33" spans="1:23" s="4" customFormat="1" ht="16.5" customHeight="1" x14ac:dyDescent="0.25">
      <c r="A33" s="111" t="s">
        <v>70</v>
      </c>
      <c r="B33" s="41" t="s">
        <v>42</v>
      </c>
      <c r="C33" s="23">
        <v>31078874</v>
      </c>
      <c r="D33" s="115"/>
      <c r="E33" s="36">
        <v>6060000</v>
      </c>
      <c r="F33" s="23">
        <f t="shared" si="5"/>
        <v>25018874</v>
      </c>
      <c r="G33" s="26"/>
      <c r="H33" s="31"/>
      <c r="I33" s="54">
        <f t="shared" si="6"/>
        <v>25018874</v>
      </c>
      <c r="J33" s="28" t="s">
        <v>15</v>
      </c>
      <c r="N33" s="20"/>
      <c r="O33" s="20"/>
    </row>
    <row r="34" spans="1:23" s="4" customFormat="1" ht="16.5" customHeight="1" x14ac:dyDescent="0.25">
      <c r="A34" s="111" t="s">
        <v>75</v>
      </c>
      <c r="B34" s="41" t="s">
        <v>47</v>
      </c>
      <c r="C34" s="23">
        <v>45971448</v>
      </c>
      <c r="D34" s="115"/>
      <c r="E34" s="36"/>
      <c r="F34" s="23">
        <f t="shared" si="5"/>
        <v>45971448</v>
      </c>
      <c r="G34" s="26"/>
      <c r="H34" s="31"/>
      <c r="I34" s="54">
        <f t="shared" si="6"/>
        <v>45971448</v>
      </c>
      <c r="J34" s="28" t="s">
        <v>15</v>
      </c>
      <c r="N34" s="20"/>
      <c r="O34" s="20"/>
    </row>
    <row r="35" spans="1:23" s="4" customFormat="1" ht="16.5" customHeight="1" x14ac:dyDescent="0.25">
      <c r="A35" s="111" t="s">
        <v>76</v>
      </c>
      <c r="B35" s="41" t="s">
        <v>49</v>
      </c>
      <c r="C35" s="23">
        <v>48079000</v>
      </c>
      <c r="D35" s="115"/>
      <c r="E35" s="36">
        <f>660000+5830000+5280000+5644000</f>
        <v>17414000</v>
      </c>
      <c r="F35" s="23">
        <f t="shared" si="5"/>
        <v>30665000</v>
      </c>
      <c r="G35" s="26"/>
      <c r="H35" s="31"/>
      <c r="I35" s="54">
        <f t="shared" si="6"/>
        <v>30665000</v>
      </c>
      <c r="J35" s="28" t="s">
        <v>15</v>
      </c>
      <c r="N35" s="20"/>
      <c r="O35" s="20"/>
    </row>
    <row r="36" spans="1:23" s="4" customFormat="1" ht="16.5" customHeight="1" x14ac:dyDescent="0.25">
      <c r="A36" s="111" t="s">
        <v>77</v>
      </c>
      <c r="B36" s="41" t="s">
        <v>51</v>
      </c>
      <c r="C36" s="23">
        <v>152701136</v>
      </c>
      <c r="D36" s="115"/>
      <c r="E36" s="36">
        <f>17121851+20401920+4834500</f>
        <v>42358271</v>
      </c>
      <c r="F36" s="23">
        <f>H36+I36</f>
        <v>110342865</v>
      </c>
      <c r="G36" s="26"/>
      <c r="H36" s="31"/>
      <c r="I36" s="54">
        <f>C36+D36-E36</f>
        <v>110342865</v>
      </c>
      <c r="J36" s="28" t="s">
        <v>15</v>
      </c>
      <c r="N36" s="20"/>
      <c r="O36" s="20"/>
    </row>
    <row r="37" spans="1:23" s="4" customFormat="1" ht="16.5" customHeight="1" x14ac:dyDescent="0.25">
      <c r="A37" s="111" t="s">
        <v>78</v>
      </c>
      <c r="B37" s="41" t="s">
        <v>53</v>
      </c>
      <c r="C37" s="23">
        <v>40319956</v>
      </c>
      <c r="D37" s="115"/>
      <c r="E37" s="36">
        <f>7664000+4630000+4521000</f>
        <v>16815000</v>
      </c>
      <c r="F37" s="23">
        <f t="shared" si="5"/>
        <v>23504956</v>
      </c>
      <c r="G37" s="26"/>
      <c r="H37" s="31"/>
      <c r="I37" s="54">
        <f t="shared" si="6"/>
        <v>23504956</v>
      </c>
      <c r="J37" s="28" t="s">
        <v>15</v>
      </c>
      <c r="N37" s="20"/>
      <c r="O37" s="20"/>
    </row>
    <row r="38" spans="1:23" s="4" customFormat="1" ht="16.5" customHeight="1" x14ac:dyDescent="0.25">
      <c r="A38" s="111" t="s">
        <v>97</v>
      </c>
      <c r="B38" s="41" t="s">
        <v>57</v>
      </c>
      <c r="C38" s="23">
        <v>25319590</v>
      </c>
      <c r="D38" s="115"/>
      <c r="E38" s="36">
        <f>6075680+3294620</f>
        <v>9370300</v>
      </c>
      <c r="F38" s="23">
        <f t="shared" si="5"/>
        <v>15949290</v>
      </c>
      <c r="G38" s="26"/>
      <c r="H38" s="31"/>
      <c r="I38" s="54">
        <f t="shared" si="6"/>
        <v>15949290</v>
      </c>
      <c r="J38" s="28" t="s">
        <v>15</v>
      </c>
      <c r="N38" s="20"/>
      <c r="O38" s="20"/>
    </row>
    <row r="39" spans="1:23" s="4" customFormat="1" ht="16.5" customHeight="1" x14ac:dyDescent="0.25">
      <c r="A39" s="111" t="s">
        <v>98</v>
      </c>
      <c r="B39" s="41" t="s">
        <v>105</v>
      </c>
      <c r="C39" s="23">
        <v>13256520</v>
      </c>
      <c r="D39" s="115"/>
      <c r="E39" s="36">
        <f>3272000</f>
        <v>3272000</v>
      </c>
      <c r="F39" s="23">
        <f t="shared" si="5"/>
        <v>9984520</v>
      </c>
      <c r="G39" s="26"/>
      <c r="H39" s="31"/>
      <c r="I39" s="54">
        <f t="shared" si="6"/>
        <v>9984520</v>
      </c>
      <c r="J39" s="28" t="s">
        <v>15</v>
      </c>
      <c r="N39" s="20"/>
      <c r="O39" s="20"/>
    </row>
    <row r="40" spans="1:23" s="4" customFormat="1" ht="16.5" customHeight="1" x14ac:dyDescent="0.25">
      <c r="A40" s="111" t="s">
        <v>106</v>
      </c>
      <c r="B40" s="41" t="s">
        <v>59</v>
      </c>
      <c r="C40" s="23">
        <v>197305</v>
      </c>
      <c r="D40" s="115"/>
      <c r="E40" s="36"/>
      <c r="F40" s="23">
        <f t="shared" si="5"/>
        <v>197305</v>
      </c>
      <c r="G40" s="26"/>
      <c r="H40" s="31"/>
      <c r="I40" s="54">
        <f t="shared" si="6"/>
        <v>197305</v>
      </c>
      <c r="J40" s="28" t="s">
        <v>15</v>
      </c>
      <c r="N40" s="108" t="s">
        <v>99</v>
      </c>
      <c r="O40" s="11">
        <f>F19+F40</f>
        <v>2682015</v>
      </c>
    </row>
    <row r="41" spans="1:23" s="4" customFormat="1" ht="16.5" customHeight="1" x14ac:dyDescent="0.25">
      <c r="A41" s="111" t="s">
        <v>107</v>
      </c>
      <c r="B41" s="41" t="s">
        <v>69</v>
      </c>
      <c r="C41" s="23">
        <v>131537</v>
      </c>
      <c r="D41" s="116"/>
      <c r="E41" s="43"/>
      <c r="F41" s="23">
        <f t="shared" si="5"/>
        <v>131537</v>
      </c>
      <c r="G41" s="26"/>
      <c r="H41" s="31"/>
      <c r="I41" s="54">
        <f t="shared" si="6"/>
        <v>131537</v>
      </c>
      <c r="J41" s="28" t="s">
        <v>15</v>
      </c>
      <c r="N41" s="108" t="s">
        <v>100</v>
      </c>
      <c r="O41" s="20">
        <f>F24+F41</f>
        <v>1004124</v>
      </c>
    </row>
    <row r="42" spans="1:23" s="4" customFormat="1" hidden="1" x14ac:dyDescent="0.25">
      <c r="A42" s="121"/>
      <c r="B42" s="32" t="s">
        <v>79</v>
      </c>
      <c r="C42" s="59">
        <v>0</v>
      </c>
      <c r="D42" s="59">
        <f t="shared" ref="D42:H42" si="7">D43</f>
        <v>0</v>
      </c>
      <c r="E42" s="59">
        <f t="shared" si="7"/>
        <v>0</v>
      </c>
      <c r="F42" s="59">
        <f>F43</f>
        <v>0</v>
      </c>
      <c r="G42" s="59">
        <f t="shared" si="7"/>
        <v>0</v>
      </c>
      <c r="H42" s="59">
        <f t="shared" si="7"/>
        <v>0</v>
      </c>
      <c r="I42" s="59">
        <f>I43</f>
        <v>0</v>
      </c>
      <c r="J42" s="60" t="s">
        <v>15</v>
      </c>
      <c r="K42" s="61"/>
      <c r="L42" s="61"/>
      <c r="M42" s="61"/>
    </row>
    <row r="43" spans="1:23" s="4" customFormat="1" hidden="1" x14ac:dyDescent="0.25">
      <c r="A43" s="21" t="s">
        <v>68</v>
      </c>
      <c r="B43" s="41" t="s">
        <v>80</v>
      </c>
      <c r="C43" s="62">
        <v>0</v>
      </c>
      <c r="D43" s="63"/>
      <c r="E43" s="45"/>
      <c r="F43" s="23">
        <f t="shared" si="3"/>
        <v>0</v>
      </c>
      <c r="G43" s="26"/>
      <c r="H43" s="31"/>
      <c r="I43" s="27">
        <f t="shared" si="4"/>
        <v>0</v>
      </c>
      <c r="J43" s="28" t="s">
        <v>15</v>
      </c>
      <c r="V43" s="64"/>
      <c r="W43" s="65"/>
    </row>
    <row r="44" spans="1:23" s="4" customFormat="1" hidden="1" x14ac:dyDescent="0.25">
      <c r="A44" s="21" t="s">
        <v>70</v>
      </c>
      <c r="B44" s="41"/>
      <c r="C44" s="62"/>
      <c r="D44" s="66"/>
      <c r="E44" s="45"/>
      <c r="F44" s="23"/>
      <c r="G44" s="26"/>
      <c r="H44" s="31"/>
      <c r="I44" s="27"/>
      <c r="J44" s="28"/>
      <c r="V44" s="67"/>
      <c r="W44" s="65"/>
    </row>
    <row r="45" spans="1:23" s="4" customFormat="1" hidden="1" x14ac:dyDescent="0.25">
      <c r="A45" s="21" t="s">
        <v>75</v>
      </c>
      <c r="B45" s="41" t="s">
        <v>81</v>
      </c>
      <c r="C45" s="23"/>
      <c r="D45" s="66"/>
      <c r="E45" s="68"/>
      <c r="F45" s="23">
        <f t="shared" si="3"/>
        <v>0</v>
      </c>
      <c r="G45" s="26"/>
      <c r="H45" s="31"/>
      <c r="I45" s="27">
        <f t="shared" si="4"/>
        <v>0</v>
      </c>
      <c r="J45" s="28" t="s">
        <v>82</v>
      </c>
      <c r="K45" s="69"/>
      <c r="L45" s="69"/>
      <c r="M45" s="69"/>
      <c r="N45" s="69"/>
      <c r="O45" s="69"/>
      <c r="V45" s="70"/>
      <c r="W45" s="65"/>
    </row>
    <row r="46" spans="1:23" s="4" customFormat="1" ht="16.5" customHeight="1" x14ac:dyDescent="0.25">
      <c r="A46" s="32"/>
      <c r="B46" s="48" t="s">
        <v>83</v>
      </c>
      <c r="C46" s="33">
        <f>(C6+C11+C28+C42+C45)</f>
        <v>8265718362</v>
      </c>
      <c r="D46" s="33">
        <f>(D6+D11+D28+D42+D45)</f>
        <v>0</v>
      </c>
      <c r="E46" s="33">
        <f>(E6+E11+E28+E42+E45)</f>
        <v>1799471495</v>
      </c>
      <c r="F46" s="33">
        <f>(F6+F11+F28+F42+F45)</f>
        <v>6466246867</v>
      </c>
      <c r="G46" s="33"/>
      <c r="H46" s="33"/>
      <c r="I46" s="33">
        <f>(I6+I11+I28+I42+I45)</f>
        <v>6466246867</v>
      </c>
      <c r="J46" s="33"/>
      <c r="K46" s="3"/>
      <c r="L46" s="3"/>
      <c r="M46" s="3"/>
      <c r="N46" s="3"/>
      <c r="O46" s="3"/>
      <c r="V46" s="3"/>
      <c r="W46" s="71"/>
    </row>
    <row r="47" spans="1:23" s="4" customFormat="1" x14ac:dyDescent="0.25">
      <c r="A47" s="72"/>
      <c r="B47" s="73"/>
      <c r="C47" s="74"/>
      <c r="D47" s="74"/>
      <c r="E47" s="74"/>
      <c r="F47" s="74"/>
      <c r="G47" s="74"/>
      <c r="H47" s="74"/>
      <c r="I47" s="74"/>
      <c r="J47" s="74"/>
      <c r="K47" s="3"/>
      <c r="L47" s="3"/>
      <c r="M47" s="3"/>
      <c r="N47" s="3"/>
      <c r="O47" s="3"/>
      <c r="V47" s="3"/>
      <c r="W47" s="71"/>
    </row>
    <row r="48" spans="1:23" s="4" customFormat="1" x14ac:dyDescent="0.25">
      <c r="A48" s="123"/>
      <c r="B48" s="75"/>
      <c r="C48" s="75"/>
      <c r="D48" s="10"/>
      <c r="E48" s="10"/>
      <c r="F48" s="3"/>
      <c r="G48" s="3"/>
      <c r="H48" s="124" t="s">
        <v>116</v>
      </c>
      <c r="I48" s="124"/>
      <c r="J48" s="124"/>
      <c r="K48" s="3"/>
      <c r="L48" s="40" t="e">
        <f>#REF!-#REF!</f>
        <v>#REF!</v>
      </c>
      <c r="M48" s="3"/>
      <c r="N48" s="3"/>
      <c r="O48" s="3"/>
      <c r="V48" s="76"/>
      <c r="W48" s="77"/>
    </row>
    <row r="49" spans="1:23" s="4" customFormat="1" x14ac:dyDescent="0.25">
      <c r="A49" s="123"/>
      <c r="B49" s="123" t="s">
        <v>84</v>
      </c>
      <c r="C49" s="69"/>
      <c r="D49" s="122" t="s">
        <v>85</v>
      </c>
      <c r="E49" s="69"/>
      <c r="F49" s="123" t="s">
        <v>86</v>
      </c>
      <c r="G49" s="3"/>
      <c r="H49" s="125" t="s">
        <v>87</v>
      </c>
      <c r="I49" s="125"/>
      <c r="J49" s="125"/>
      <c r="K49" s="3"/>
      <c r="L49" s="3"/>
      <c r="M49" s="3"/>
      <c r="N49" s="3"/>
      <c r="O49" s="3"/>
      <c r="V49" s="76"/>
      <c r="W49" s="77"/>
    </row>
    <row r="50" spans="1:23" s="4" customFormat="1" x14ac:dyDescent="0.25">
      <c r="A50" s="3"/>
      <c r="B50" s="3"/>
      <c r="C50" s="3"/>
      <c r="D50" s="3"/>
      <c r="E50" s="3"/>
      <c r="F50" s="75"/>
      <c r="G50" s="10"/>
      <c r="H50" s="3"/>
      <c r="I50" s="3"/>
      <c r="J50" s="3"/>
      <c r="K50" s="3"/>
      <c r="L50" s="40"/>
      <c r="M50" s="3"/>
      <c r="N50" s="3"/>
      <c r="O50" s="3"/>
      <c r="V50" s="70"/>
      <c r="W50" s="79"/>
    </row>
    <row r="51" spans="1:23" s="4" customFormat="1" x14ac:dyDescent="0.25">
      <c r="A51" s="3"/>
      <c r="B51" s="3"/>
      <c r="C51" s="3"/>
      <c r="D51" s="3"/>
      <c r="E51" s="10"/>
      <c r="F51" s="75"/>
      <c r="G51" s="3"/>
      <c r="H51" s="3"/>
      <c r="I51" s="3"/>
      <c r="J51" s="3"/>
      <c r="K51" s="3"/>
      <c r="L51" s="40"/>
      <c r="M51" s="3"/>
      <c r="N51" s="3"/>
      <c r="O51" s="3"/>
      <c r="Q51" s="11"/>
      <c r="V51" s="70"/>
      <c r="W51" s="79"/>
    </row>
    <row r="52" spans="1:23" s="4" customFormat="1" x14ac:dyDescent="0.25">
      <c r="A52" s="3"/>
      <c r="B52" s="3"/>
      <c r="C52" s="3"/>
      <c r="D52" s="3"/>
      <c r="E52" s="3"/>
      <c r="F52" s="75"/>
      <c r="G52" s="10"/>
      <c r="H52" s="3"/>
      <c r="I52" s="3"/>
      <c r="J52" s="3"/>
      <c r="K52" s="3"/>
      <c r="L52" s="40"/>
      <c r="M52" s="3"/>
      <c r="N52" s="3"/>
      <c r="O52" s="3"/>
      <c r="V52" s="70"/>
      <c r="W52" s="79"/>
    </row>
    <row r="53" spans="1:23" s="4" customFormat="1" x14ac:dyDescent="0.25">
      <c r="A53" s="3"/>
      <c r="B53" s="123" t="s">
        <v>88</v>
      </c>
      <c r="C53" s="3"/>
      <c r="D53" s="123" t="s">
        <v>89</v>
      </c>
      <c r="E53" s="3"/>
      <c r="F53" s="123" t="s">
        <v>90</v>
      </c>
      <c r="G53" s="69"/>
      <c r="H53" s="126" t="s">
        <v>91</v>
      </c>
      <c r="I53" s="126"/>
      <c r="J53" s="126"/>
      <c r="K53" s="3"/>
      <c r="L53" s="3"/>
      <c r="M53" s="3"/>
      <c r="N53" s="3"/>
      <c r="O53" s="3"/>
      <c r="V53" s="70"/>
      <c r="W53" s="79"/>
    </row>
    <row r="54" spans="1:23" x14ac:dyDescent="0.25">
      <c r="A54" s="80"/>
      <c r="B54" s="81"/>
      <c r="C54" s="80"/>
      <c r="D54" s="80"/>
      <c r="E54" s="80"/>
      <c r="F54" s="82"/>
      <c r="G54" s="83"/>
      <c r="H54" s="84"/>
      <c r="I54" s="84"/>
      <c r="J54" s="84"/>
      <c r="K54" s="80"/>
      <c r="L54" s="80"/>
      <c r="M54" s="80"/>
      <c r="N54" s="80"/>
      <c r="O54" s="80"/>
      <c r="V54" s="3"/>
      <c r="W54" s="85"/>
    </row>
    <row r="55" spans="1:23" ht="17.25" x14ac:dyDescent="0.3">
      <c r="A55" s="80"/>
      <c r="F55" s="86"/>
      <c r="G55" s="80"/>
      <c r="H55" s="80"/>
      <c r="I55" s="87"/>
      <c r="J55" s="80"/>
      <c r="K55" s="80"/>
      <c r="L55" s="80"/>
      <c r="M55" s="80"/>
      <c r="N55" s="80"/>
      <c r="O55" s="80"/>
      <c r="V55" s="88"/>
      <c r="W55" s="89"/>
    </row>
    <row r="56" spans="1:23" ht="17.25" x14ac:dyDescent="0.3">
      <c r="V56" s="90"/>
      <c r="W56" s="89"/>
    </row>
    <row r="57" spans="1:23" ht="17.25" x14ac:dyDescent="0.25">
      <c r="A57" s="80"/>
      <c r="F57" s="80"/>
      <c r="G57" s="80"/>
      <c r="H57" s="80"/>
      <c r="I57" s="87"/>
      <c r="J57" s="80"/>
      <c r="K57" s="80"/>
      <c r="L57" s="80"/>
      <c r="M57" s="80"/>
      <c r="N57" s="80"/>
      <c r="O57" s="80"/>
      <c r="V57" s="91"/>
      <c r="W57" s="92"/>
    </row>
    <row r="58" spans="1:23" ht="17.25" x14ac:dyDescent="0.25">
      <c r="A58" s="80"/>
      <c r="F58" s="80"/>
      <c r="G58" s="80"/>
      <c r="H58" s="80"/>
      <c r="I58" s="87"/>
      <c r="J58" s="80"/>
      <c r="K58" s="80"/>
      <c r="L58" s="80"/>
      <c r="M58" s="80"/>
      <c r="N58" s="80"/>
      <c r="O58" s="80"/>
      <c r="V58" s="93"/>
      <c r="W58" s="94"/>
    </row>
    <row r="59" spans="1:23" x14ac:dyDescent="0.25">
      <c r="A59" s="80"/>
      <c r="F59" s="80"/>
      <c r="G59" s="80"/>
      <c r="H59" s="80"/>
      <c r="I59" s="87"/>
      <c r="J59" s="80"/>
      <c r="K59" s="80"/>
      <c r="L59" s="80"/>
      <c r="M59" s="80"/>
      <c r="N59" s="80"/>
      <c r="O59" s="80"/>
      <c r="V59" s="95"/>
      <c r="W59" s="95"/>
    </row>
    <row r="60" spans="1:23" x14ac:dyDescent="0.25">
      <c r="A60" s="80"/>
      <c r="F60" s="80"/>
      <c r="G60" s="80"/>
      <c r="H60" s="80"/>
      <c r="I60" s="87"/>
      <c r="J60" s="80"/>
      <c r="K60" s="80"/>
      <c r="L60" s="80"/>
      <c r="M60" s="80"/>
      <c r="N60" s="80"/>
      <c r="O60" s="80"/>
      <c r="V60" s="95"/>
      <c r="W60" s="95"/>
    </row>
    <row r="61" spans="1:23" ht="15.75" x14ac:dyDescent="0.3">
      <c r="A61" s="96"/>
      <c r="F61" s="96"/>
      <c r="G61" s="96"/>
      <c r="H61" s="96"/>
      <c r="I61" s="97"/>
      <c r="J61" s="96"/>
      <c r="V61" s="95"/>
      <c r="W61" s="95"/>
    </row>
    <row r="62" spans="1:23" ht="15.75" x14ac:dyDescent="0.3">
      <c r="A62" s="96"/>
      <c r="F62" s="96"/>
      <c r="G62" s="96"/>
      <c r="H62" s="96"/>
      <c r="I62" s="96"/>
      <c r="J62" s="96"/>
      <c r="V62" s="95"/>
      <c r="W62" s="95"/>
    </row>
    <row r="63" spans="1:23" ht="15.75" x14ac:dyDescent="0.3">
      <c r="A63" s="96"/>
      <c r="F63" s="98"/>
      <c r="G63" s="98"/>
      <c r="H63" s="96"/>
      <c r="I63" s="96"/>
      <c r="J63" s="96"/>
      <c r="V63" s="95"/>
      <c r="W63" s="95"/>
    </row>
    <row r="64" spans="1:23" ht="15.75" x14ac:dyDescent="0.3">
      <c r="A64" s="96"/>
      <c r="F64" s="98"/>
      <c r="G64" s="98"/>
      <c r="H64" s="96"/>
      <c r="I64" s="96"/>
      <c r="J64" s="96"/>
      <c r="V64" s="95"/>
      <c r="W64" s="95"/>
    </row>
    <row r="65" spans="1:23" ht="15.75" x14ac:dyDescent="0.3">
      <c r="A65" s="96"/>
      <c r="F65" s="96"/>
      <c r="G65" s="96"/>
      <c r="H65" s="96"/>
      <c r="I65" s="96"/>
      <c r="J65" s="96"/>
      <c r="V65" s="95"/>
      <c r="W65" s="95"/>
    </row>
    <row r="66" spans="1:23" ht="15.75" x14ac:dyDescent="0.3">
      <c r="A66" s="96"/>
      <c r="F66" s="96"/>
      <c r="G66" s="96"/>
      <c r="H66" s="96"/>
      <c r="I66" s="96"/>
      <c r="J66" s="96"/>
      <c r="V66" s="95"/>
      <c r="W66" s="95"/>
    </row>
    <row r="67" spans="1:23" ht="15.75" x14ac:dyDescent="0.3">
      <c r="A67" s="96"/>
      <c r="F67" s="96"/>
      <c r="G67" s="96"/>
      <c r="H67" s="96"/>
      <c r="I67" s="96"/>
      <c r="J67" s="96"/>
      <c r="V67" s="95"/>
      <c r="W67" s="95"/>
    </row>
    <row r="68" spans="1:23" ht="15.75" x14ac:dyDescent="0.3">
      <c r="A68" s="96"/>
      <c r="F68" s="96"/>
      <c r="G68" s="96"/>
      <c r="H68" s="96"/>
      <c r="I68" s="96"/>
      <c r="J68" s="96"/>
      <c r="V68" s="95"/>
      <c r="W68" s="95"/>
    </row>
    <row r="69" spans="1:23" ht="15.75" x14ac:dyDescent="0.3">
      <c r="A69" s="96"/>
      <c r="F69" s="96"/>
      <c r="G69" s="96"/>
      <c r="H69" s="97"/>
      <c r="I69" s="96"/>
      <c r="J69" s="96"/>
      <c r="V69" s="95"/>
      <c r="W69" s="95"/>
    </row>
    <row r="70" spans="1:23" ht="15.75" x14ac:dyDescent="0.3">
      <c r="A70" s="96"/>
      <c r="F70" s="96"/>
      <c r="G70" s="96"/>
      <c r="H70" s="98"/>
      <c r="I70" s="96"/>
      <c r="J70" s="96"/>
      <c r="V70" s="95"/>
      <c r="W70" s="95"/>
    </row>
    <row r="71" spans="1:23" ht="15.75" x14ac:dyDescent="0.3">
      <c r="A71" s="96"/>
      <c r="F71" s="99"/>
      <c r="G71" s="99"/>
      <c r="H71" s="96"/>
      <c r="I71" s="96"/>
      <c r="J71" s="96"/>
      <c r="V71" s="95"/>
      <c r="W71" s="95"/>
    </row>
    <row r="72" spans="1:23" ht="15.75" x14ac:dyDescent="0.3">
      <c r="A72" s="96"/>
      <c r="F72" s="96"/>
      <c r="G72" s="96"/>
      <c r="H72" s="96"/>
      <c r="I72" s="96"/>
      <c r="J72" s="96"/>
      <c r="V72" s="95"/>
      <c r="W72" s="95"/>
    </row>
    <row r="73" spans="1:23" ht="15.75" x14ac:dyDescent="0.3">
      <c r="A73" s="96"/>
      <c r="F73" s="96"/>
      <c r="G73" s="96"/>
      <c r="H73" s="96"/>
      <c r="I73" s="96"/>
      <c r="J73" s="96"/>
      <c r="V73" s="95"/>
      <c r="W73" s="95"/>
    </row>
    <row r="74" spans="1:23" ht="15.75" x14ac:dyDescent="0.3">
      <c r="A74" s="96"/>
      <c r="F74" s="96"/>
      <c r="G74" s="96"/>
      <c r="H74" s="96"/>
      <c r="I74" s="96"/>
      <c r="J74" s="96"/>
      <c r="V74" s="95"/>
      <c r="W74" s="95"/>
    </row>
    <row r="75" spans="1:23" ht="15.75" x14ac:dyDescent="0.3">
      <c r="A75" s="96"/>
      <c r="F75" s="96"/>
      <c r="G75" s="96"/>
      <c r="H75" s="96"/>
      <c r="I75" s="96"/>
      <c r="J75" s="96"/>
      <c r="V75" s="95"/>
      <c r="W75" s="95"/>
    </row>
    <row r="76" spans="1:23" ht="15.75" x14ac:dyDescent="0.3">
      <c r="A76" s="96"/>
      <c r="F76" s="96"/>
      <c r="G76" s="96"/>
      <c r="H76" s="96"/>
      <c r="I76" s="96"/>
      <c r="J76" s="96"/>
      <c r="V76" s="95"/>
      <c r="W76" s="95"/>
    </row>
    <row r="77" spans="1:23" ht="15.75" x14ac:dyDescent="0.3">
      <c r="A77" s="96"/>
      <c r="F77" s="96"/>
      <c r="G77" s="96"/>
      <c r="H77" s="96"/>
      <c r="I77" s="96"/>
      <c r="J77" s="96"/>
      <c r="V77" s="95"/>
      <c r="W77" s="95"/>
    </row>
    <row r="78" spans="1:23" ht="15.75" x14ac:dyDescent="0.3">
      <c r="A78" s="96"/>
      <c r="F78" s="96"/>
      <c r="G78" s="96"/>
      <c r="H78" s="96"/>
      <c r="I78" s="96"/>
      <c r="J78" s="96"/>
      <c r="V78" s="95"/>
      <c r="W78" s="95"/>
    </row>
    <row r="79" spans="1:23" ht="15.75" x14ac:dyDescent="0.3">
      <c r="A79" s="96"/>
      <c r="F79" s="96"/>
      <c r="G79" s="96"/>
      <c r="H79" s="96"/>
      <c r="I79" s="96"/>
      <c r="J79" s="96"/>
      <c r="V79" s="95"/>
      <c r="W79" s="95"/>
    </row>
    <row r="80" spans="1:23" ht="15.75" x14ac:dyDescent="0.3">
      <c r="A80" s="96"/>
      <c r="F80" s="96"/>
      <c r="G80" s="96"/>
      <c r="H80" s="96"/>
      <c r="I80" s="96"/>
      <c r="J80" s="96"/>
    </row>
    <row r="81" spans="1:15" ht="15.75" customHeight="1" x14ac:dyDescent="0.35">
      <c r="A81" s="100"/>
      <c r="F81" s="101"/>
      <c r="G81" s="101"/>
      <c r="H81" s="100"/>
      <c r="I81" s="100"/>
      <c r="J81" s="100"/>
      <c r="K81" s="100"/>
      <c r="L81" s="100"/>
      <c r="M81" s="100"/>
      <c r="N81" s="100"/>
      <c r="O81" s="100"/>
    </row>
    <row r="83" spans="1:15" x14ac:dyDescent="0.25">
      <c r="C83" s="102"/>
      <c r="D83" s="102"/>
      <c r="E83" s="103"/>
    </row>
    <row r="84" spans="1:15" x14ac:dyDescent="0.25">
      <c r="C84" s="102"/>
      <c r="D84" s="102"/>
    </row>
    <row r="85" spans="1:15" x14ac:dyDescent="0.25">
      <c r="C85" s="102"/>
      <c r="D85" s="102"/>
    </row>
    <row r="86" spans="1:15" x14ac:dyDescent="0.25">
      <c r="C86" s="102"/>
      <c r="D86" s="102"/>
    </row>
    <row r="87" spans="1:15" x14ac:dyDescent="0.25">
      <c r="C87" s="102"/>
      <c r="D87" s="102"/>
    </row>
    <row r="88" spans="1:15" x14ac:dyDescent="0.25">
      <c r="C88" s="102"/>
      <c r="D88" s="102"/>
    </row>
    <row r="89" spans="1:15" x14ac:dyDescent="0.25">
      <c r="C89" s="102"/>
      <c r="D89" s="102"/>
    </row>
    <row r="90" spans="1:15" x14ac:dyDescent="0.25">
      <c r="C90" s="102"/>
      <c r="D90" s="102"/>
    </row>
    <row r="91" spans="1:15" x14ac:dyDescent="0.25">
      <c r="C91" s="102"/>
      <c r="D91" s="102"/>
    </row>
    <row r="92" spans="1:15" x14ac:dyDescent="0.25">
      <c r="C92" s="102"/>
      <c r="D92" s="102"/>
    </row>
    <row r="93" spans="1:15" x14ac:dyDescent="0.25">
      <c r="C93" s="102"/>
      <c r="D93" s="102"/>
    </row>
    <row r="94" spans="1:15" x14ac:dyDescent="0.25">
      <c r="C94" s="102"/>
      <c r="D94" s="102"/>
    </row>
    <row r="95" spans="1:15" x14ac:dyDescent="0.25">
      <c r="C95" s="102"/>
      <c r="D95" s="102"/>
    </row>
    <row r="96" spans="1:15" x14ac:dyDescent="0.25">
      <c r="C96" s="102"/>
      <c r="D96" s="102"/>
    </row>
    <row r="97" spans="3:4" x14ac:dyDescent="0.25">
      <c r="C97" s="102"/>
      <c r="D97" s="102"/>
    </row>
    <row r="98" spans="3:4" x14ac:dyDescent="0.25">
      <c r="C98" s="102"/>
      <c r="D98" s="102"/>
    </row>
    <row r="99" spans="3:4" x14ac:dyDescent="0.25">
      <c r="C99" s="102"/>
      <c r="D99" s="102"/>
    </row>
    <row r="100" spans="3:4" x14ac:dyDescent="0.25">
      <c r="C100" s="102"/>
      <c r="D100" s="102"/>
    </row>
    <row r="101" spans="3:4" x14ac:dyDescent="0.25">
      <c r="C101" s="102"/>
      <c r="D101" s="102"/>
    </row>
    <row r="102" spans="3:4" x14ac:dyDescent="0.25">
      <c r="C102" s="102"/>
      <c r="D102" s="102"/>
    </row>
  </sheetData>
  <mergeCells count="13">
    <mergeCell ref="H48:J48"/>
    <mergeCell ref="H49:J49"/>
    <mergeCell ref="H53:J53"/>
    <mergeCell ref="A2:J2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/>
  <pageMargins left="0.7" right="0.7" top="0.5" bottom="0.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2023 (chinh ly)</vt:lpstr>
      <vt:lpstr>2023 (1)</vt:lpstr>
      <vt:lpstr>2023 (2)</vt:lpstr>
      <vt:lpstr>2023 (3)</vt:lpstr>
      <vt:lpstr>2023 (4)</vt:lpstr>
      <vt:lpstr>2023 (5)</vt:lpstr>
      <vt:lpstr>'2023 (1)'!Print_Titles</vt:lpstr>
      <vt:lpstr>'2023 (chinh ly)'!Print_Titles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2023-05-07T03:34:10Z</cp:lastPrinted>
  <dcterms:created xsi:type="dcterms:W3CDTF">2023-01-03T01:22:33Z</dcterms:created>
  <dcterms:modified xsi:type="dcterms:W3CDTF">2023-05-24T02:37:12Z</dcterms:modified>
</cp:coreProperties>
</file>